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4"/>
  </bookViews>
  <sheets>
    <sheet name="7Jan02Expt" sheetId="1" r:id="rId1"/>
    <sheet name="8Jan02Expt" sheetId="2" r:id="rId2"/>
    <sheet name="28Jan02Expt" sheetId="3" r:id="rId3"/>
    <sheet name="28Jan02HorizOnly" sheetId="4" r:id="rId4"/>
    <sheet name="18Mar02Expt" sheetId="5" r:id="rId5"/>
  </sheets>
  <definedNames>
    <definedName name="_xlnm.Print_Area" localSheetId="4">'18Mar02Expt'!$A$1:$P$39</definedName>
  </definedNames>
  <calcPr fullCalcOnLoad="1"/>
</workbook>
</file>

<file path=xl/sharedStrings.xml><?xml version="1.0" encoding="utf-8"?>
<sst xmlns="http://schemas.openxmlformats.org/spreadsheetml/2006/main" count="328" uniqueCount="58">
  <si>
    <t>Sample</t>
  </si>
  <si>
    <t>Pre</t>
  </si>
  <si>
    <t>Post</t>
  </si>
  <si>
    <t>2A</t>
  </si>
  <si>
    <t>2B</t>
  </si>
  <si>
    <t>2C</t>
  </si>
  <si>
    <t>2D</t>
  </si>
  <si>
    <t>2E</t>
  </si>
  <si>
    <t>9A</t>
  </si>
  <si>
    <t>9B</t>
  </si>
  <si>
    <t>9C</t>
  </si>
  <si>
    <t>9D</t>
  </si>
  <si>
    <t>9E</t>
  </si>
  <si>
    <t>Average</t>
  </si>
  <si>
    <t>StdDev</t>
  </si>
  <si>
    <t>Gain</t>
  </si>
  <si>
    <t>Surface Area of C+D+E:</t>
  </si>
  <si>
    <t>cm^2</t>
  </si>
  <si>
    <t>Surface Area of A+B:</t>
  </si>
  <si>
    <t xml:space="preserve">HiVac Pump Time:  </t>
  </si>
  <si>
    <t>HiVac Start:</t>
  </si>
  <si>
    <t>min</t>
  </si>
  <si>
    <t>h:m</t>
  </si>
  <si>
    <t>A+B</t>
  </si>
  <si>
    <t>C+D+E</t>
  </si>
  <si>
    <t>Diff pump throat dia:</t>
  </si>
  <si>
    <t>in</t>
  </si>
  <si>
    <t>Diff pump throat area:</t>
  </si>
  <si>
    <t>+/-</t>
  </si>
  <si>
    <t>Surface Area of Butterfly valve:</t>
  </si>
  <si>
    <t>Surface Area of Lower nipple</t>
  </si>
  <si>
    <t>Height of Butterfly housing:</t>
  </si>
  <si>
    <t>Imputed</t>
  </si>
  <si>
    <t>[g]</t>
  </si>
  <si>
    <t>Total</t>
  </si>
  <si>
    <t>Accumulation</t>
  </si>
  <si>
    <t>[10^-4*mg*min^-1*cm^-2]</t>
  </si>
  <si>
    <t>HiVac Finish</t>
  </si>
  <si>
    <t>StdDev/</t>
  </si>
  <si>
    <t>Average Rate</t>
  </si>
  <si>
    <t>Average rate</t>
  </si>
  <si>
    <t>at throat of DP</t>
  </si>
  <si>
    <t xml:space="preserve">Minimum </t>
  </si>
  <si>
    <t>Receiving Surface</t>
  </si>
  <si>
    <t>DP2</t>
  </si>
  <si>
    <t>DP3</t>
  </si>
  <si>
    <t>DP4</t>
  </si>
  <si>
    <t>DP5</t>
  </si>
  <si>
    <t>DP8</t>
  </si>
  <si>
    <t>DP9</t>
  </si>
  <si>
    <t>DP6*</t>
  </si>
  <si>
    <t>* DP6 sample is control, no pump installed in position 6.</t>
  </si>
  <si>
    <t>Sample size 14" x 30.5"</t>
  </si>
  <si>
    <t>Control Sample size 12" x 36"</t>
  </si>
  <si>
    <t>Surface Area of top of upper nipple: A+B:</t>
  </si>
  <si>
    <t>Surface Area of upper nipple:</t>
  </si>
  <si>
    <t>Area of Butterfly valve housing:</t>
  </si>
  <si>
    <t>Specified Accumulation rate:  0.7 [10^-4*mg*min^-1*cm^-2]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</si>
</sst>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0"/>
    <numFmt numFmtId="167" formatCode="0.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Border="1" applyAlignment="1" quotePrefix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 quotePrefix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5" xfId="0" applyNumberFormat="1" applyBorder="1" applyAlignment="1">
      <alignment horizontal="left"/>
    </xf>
    <xf numFmtId="164" fontId="0" fillId="0" borderId="11" xfId="0" applyNumberFormat="1" applyBorder="1" applyAlignment="1">
      <alignment horizontal="left"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7" xfId="0" applyNumberFormat="1" applyBorder="1" applyAlignment="1">
      <alignment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167" fontId="0" fillId="0" borderId="5" xfId="0" applyNumberFormat="1" applyBorder="1" applyAlignment="1">
      <alignment/>
    </xf>
    <xf numFmtId="167" fontId="0" fillId="0" borderId="11" xfId="0" applyNumberFormat="1" applyBorder="1" applyAlignment="1">
      <alignment/>
    </xf>
    <xf numFmtId="164" fontId="0" fillId="0" borderId="0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167" fontId="0" fillId="0" borderId="0" xfId="0" applyNumberFormat="1" applyBorder="1" applyAlignment="1">
      <alignment horizontal="left"/>
    </xf>
    <xf numFmtId="167" fontId="0" fillId="0" borderId="7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0" fillId="0" borderId="1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2" borderId="0" xfId="0" applyNumberFormat="1" applyFill="1" applyAlignment="1">
      <alignment/>
    </xf>
    <xf numFmtId="2" fontId="0" fillId="0" borderId="4" xfId="0" applyNumberFormat="1" applyBorder="1" applyAlignment="1">
      <alignment/>
    </xf>
    <xf numFmtId="2" fontId="0" fillId="0" borderId="6" xfId="0" applyNumberFormat="1" applyBorder="1" applyAlignment="1">
      <alignment/>
    </xf>
    <xf numFmtId="165" fontId="0" fillId="0" borderId="6" xfId="0" applyNumberFormat="1" applyBorder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9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" xfId="0" applyNumberFormat="1" applyBorder="1" applyAlignment="1">
      <alignment/>
    </xf>
    <xf numFmtId="167" fontId="0" fillId="0" borderId="2" xfId="0" applyNumberFormat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4" borderId="4" xfId="0" applyNumberFormat="1" applyFill="1" applyBorder="1" applyAlignment="1">
      <alignment/>
    </xf>
    <xf numFmtId="0" fontId="0" fillId="4" borderId="0" xfId="0" applyFill="1" applyAlignment="1">
      <alignment/>
    </xf>
    <xf numFmtId="164" fontId="0" fillId="4" borderId="1" xfId="0" applyNumberFormat="1" applyFill="1" applyBorder="1" applyAlignment="1">
      <alignment/>
    </xf>
    <xf numFmtId="164" fontId="0" fillId="4" borderId="2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5"/>
  <sheetViews>
    <sheetView workbookViewId="0" topLeftCell="A1">
      <selection activeCell="R15" sqref="R15"/>
    </sheetView>
  </sheetViews>
  <sheetFormatPr defaultColWidth="9.140625" defaultRowHeight="12.75"/>
  <cols>
    <col min="1" max="1" width="11.140625" style="0" customWidth="1"/>
    <col min="2" max="4" width="7.140625" style="0" customWidth="1"/>
    <col min="5" max="5" width="7.8515625" style="0" customWidth="1"/>
    <col min="6" max="6" width="7.421875" style="0" customWidth="1"/>
    <col min="7" max="9" width="7.140625" style="0" customWidth="1"/>
    <col min="10" max="10" width="7.8515625" style="0" customWidth="1"/>
    <col min="11" max="11" width="7.421875" style="0" customWidth="1"/>
    <col min="12" max="12" width="6.8515625" style="0" customWidth="1"/>
    <col min="13" max="13" width="10.8515625" style="0" customWidth="1"/>
    <col min="14" max="14" width="3.140625" style="0" customWidth="1"/>
    <col min="15" max="15" width="6.7109375" style="0" customWidth="1"/>
    <col min="16" max="16" width="7.421875" style="0" customWidth="1"/>
    <col min="17" max="17" width="7.28125" style="0" customWidth="1"/>
    <col min="19" max="19" width="12.00390625" style="0" customWidth="1"/>
    <col min="20" max="20" width="14.57421875" style="0" customWidth="1"/>
    <col min="21" max="21" width="3.140625" style="0" customWidth="1"/>
    <col min="22" max="22" width="3.57421875" style="0" customWidth="1"/>
    <col min="23" max="23" width="13.8515625" style="0" customWidth="1"/>
    <col min="24" max="24" width="2.8515625" style="0" customWidth="1"/>
    <col min="25" max="25" width="4.28125" style="0" customWidth="1"/>
  </cols>
  <sheetData>
    <row r="2" spans="1:25" ht="12.75">
      <c r="A2" s="2"/>
      <c r="B2" s="2"/>
      <c r="C2" s="3"/>
      <c r="D2" s="4"/>
      <c r="E2" s="3"/>
      <c r="F2" s="4"/>
      <c r="G2" s="3"/>
      <c r="H2" s="3"/>
      <c r="I2" s="3"/>
      <c r="J2" s="12"/>
      <c r="K2" s="3"/>
      <c r="L2" s="12"/>
      <c r="M2" s="3" t="s">
        <v>43</v>
      </c>
      <c r="N2" s="3"/>
      <c r="O2" s="3"/>
      <c r="P2" s="12"/>
      <c r="Q2" s="3"/>
      <c r="R2" s="12"/>
      <c r="S2" s="3"/>
      <c r="T2" s="2"/>
      <c r="U2" s="3"/>
      <c r="V2" s="4"/>
      <c r="W2" s="40" t="s">
        <v>42</v>
      </c>
      <c r="X2" s="3"/>
      <c r="Y2" s="4"/>
    </row>
    <row r="3" spans="1:25" ht="12.75">
      <c r="A3" s="5" t="s">
        <v>0</v>
      </c>
      <c r="B3" s="5" t="s">
        <v>1</v>
      </c>
      <c r="C3" s="6"/>
      <c r="D3" s="7"/>
      <c r="E3" s="6"/>
      <c r="F3" s="7"/>
      <c r="G3" s="6" t="s">
        <v>2</v>
      </c>
      <c r="H3" s="6"/>
      <c r="I3" s="6"/>
      <c r="J3" s="13"/>
      <c r="K3" s="6"/>
      <c r="L3" s="13" t="s">
        <v>15</v>
      </c>
      <c r="M3" s="6" t="s">
        <v>39</v>
      </c>
      <c r="N3" s="6"/>
      <c r="O3" s="6"/>
      <c r="P3" s="13"/>
      <c r="Q3" s="6" t="s">
        <v>38</v>
      </c>
      <c r="R3" s="13" t="s">
        <v>15</v>
      </c>
      <c r="S3" s="6" t="s">
        <v>34</v>
      </c>
      <c r="T3" s="5" t="s">
        <v>32</v>
      </c>
      <c r="U3" s="6"/>
      <c r="V3" s="7"/>
      <c r="W3" s="5" t="s">
        <v>32</v>
      </c>
      <c r="X3" s="6"/>
      <c r="Y3" s="7"/>
    </row>
    <row r="4" spans="1:25" ht="12.75">
      <c r="A4" s="5"/>
      <c r="B4" s="5"/>
      <c r="C4" s="6"/>
      <c r="D4" s="7"/>
      <c r="E4" s="6" t="s">
        <v>13</v>
      </c>
      <c r="F4" s="7" t="s">
        <v>14</v>
      </c>
      <c r="G4" s="6"/>
      <c r="H4" s="6"/>
      <c r="I4" s="6"/>
      <c r="J4" s="13" t="s">
        <v>13</v>
      </c>
      <c r="K4" s="6" t="s">
        <v>14</v>
      </c>
      <c r="L4" s="13"/>
      <c r="M4" s="6"/>
      <c r="N4" s="6"/>
      <c r="O4" s="6"/>
      <c r="P4" s="13"/>
      <c r="Q4" s="6" t="s">
        <v>15</v>
      </c>
      <c r="R4" s="13" t="s">
        <v>32</v>
      </c>
      <c r="S4" s="6" t="s">
        <v>32</v>
      </c>
      <c r="T4" s="5" t="s">
        <v>40</v>
      </c>
      <c r="U4" s="6"/>
      <c r="V4" s="7"/>
      <c r="W4" s="5" t="s">
        <v>40</v>
      </c>
      <c r="X4" s="6"/>
      <c r="Y4" s="7"/>
    </row>
    <row r="5" spans="1:25" ht="12.75">
      <c r="A5" s="5"/>
      <c r="B5" s="5"/>
      <c r="C5" s="6"/>
      <c r="D5" s="7"/>
      <c r="E5" s="6"/>
      <c r="F5" s="7"/>
      <c r="G5" s="6"/>
      <c r="H5" s="6"/>
      <c r="I5" s="6"/>
      <c r="J5" s="13"/>
      <c r="K5" s="6"/>
      <c r="L5" s="13"/>
      <c r="M5" s="6"/>
      <c r="N5" s="6"/>
      <c r="O5" s="6"/>
      <c r="P5" s="13"/>
      <c r="Q5" s="6"/>
      <c r="R5" s="13"/>
      <c r="S5" s="6" t="s">
        <v>35</v>
      </c>
      <c r="T5" s="5" t="s">
        <v>41</v>
      </c>
      <c r="U5" s="6"/>
      <c r="V5" s="7"/>
      <c r="W5" s="5" t="s">
        <v>41</v>
      </c>
      <c r="X5" s="6"/>
      <c r="Y5" s="7"/>
    </row>
    <row r="6" spans="1:25" ht="12.75">
      <c r="A6" s="9"/>
      <c r="B6" s="9" t="s">
        <v>33</v>
      </c>
      <c r="C6" s="10"/>
      <c r="D6" s="17"/>
      <c r="E6" s="10" t="s">
        <v>33</v>
      </c>
      <c r="F6" s="17" t="s">
        <v>33</v>
      </c>
      <c r="G6" s="10" t="s">
        <v>33</v>
      </c>
      <c r="H6" s="10"/>
      <c r="I6" s="10"/>
      <c r="J6" s="16" t="s">
        <v>33</v>
      </c>
      <c r="K6" s="10" t="s">
        <v>33</v>
      </c>
      <c r="L6" s="16" t="s">
        <v>33</v>
      </c>
      <c r="M6" s="10" t="s">
        <v>36</v>
      </c>
      <c r="N6" s="10"/>
      <c r="O6" s="10"/>
      <c r="P6" s="16"/>
      <c r="Q6" s="10"/>
      <c r="R6" s="16" t="s">
        <v>33</v>
      </c>
      <c r="S6" s="10" t="s">
        <v>33</v>
      </c>
      <c r="T6" s="9" t="s">
        <v>36</v>
      </c>
      <c r="U6" s="10"/>
      <c r="V6" s="17"/>
      <c r="W6" s="9" t="s">
        <v>36</v>
      </c>
      <c r="X6" s="10"/>
      <c r="Y6" s="17"/>
    </row>
    <row r="7" spans="1:25" ht="12.75">
      <c r="A7" s="30" t="s">
        <v>3</v>
      </c>
      <c r="B7" s="26">
        <v>58.532</v>
      </c>
      <c r="C7" s="27">
        <v>58.533</v>
      </c>
      <c r="D7" s="32">
        <v>58.532</v>
      </c>
      <c r="E7" s="8">
        <f>AVERAGE(B7:D7)</f>
        <v>58.53233333333333</v>
      </c>
      <c r="F7" s="8">
        <f>STDEV(B7:D7)</f>
        <v>0.0005773511545613181</v>
      </c>
      <c r="G7" s="26">
        <v>58.537</v>
      </c>
      <c r="H7" s="27">
        <v>58.539</v>
      </c>
      <c r="I7" s="32">
        <v>58.54</v>
      </c>
      <c r="J7" s="8">
        <f>AVERAGE(G7:I7)</f>
        <v>58.538666666666664</v>
      </c>
      <c r="K7" s="8">
        <f>STDEV(G7:I7)</f>
        <v>0.0015275254902128793</v>
      </c>
      <c r="L7" s="14">
        <f>J7-E7</f>
        <v>0.006333333333337521</v>
      </c>
      <c r="M7" s="20">
        <f>1000*10000*(L7+L8)/($D$21*$D$26)</f>
        <v>1.7481151840617528</v>
      </c>
      <c r="N7" s="21" t="s">
        <v>28</v>
      </c>
      <c r="O7" s="34">
        <f>M7*AVERAGE(Q7:Q8)</f>
        <v>0.2904921176292867</v>
      </c>
      <c r="P7" s="13" t="s">
        <v>23</v>
      </c>
      <c r="Q7" s="6">
        <f>K7/L7</f>
        <v>0.24118823529661093</v>
      </c>
      <c r="R7" s="14">
        <f>L7*3</f>
        <v>0.019000000000012562</v>
      </c>
      <c r="S7" s="8">
        <f>R7+R9</f>
        <v>0.04619685039366753</v>
      </c>
      <c r="T7" s="19">
        <f>1000*10000*S7/($D$26*$D$35)</f>
        <v>5.887654848891548</v>
      </c>
      <c r="U7" s="18" t="s">
        <v>28</v>
      </c>
      <c r="V7" s="24">
        <f>Q7*T7</f>
        <v>1.4200330830396868</v>
      </c>
      <c r="W7" s="19">
        <f>1000*10000*SUM(L7:L11)/($D$35*$D$26)</f>
        <v>3.016248154790667</v>
      </c>
      <c r="X7" s="21" t="s">
        <v>28</v>
      </c>
      <c r="Y7" s="24">
        <f>T7*Q7</f>
        <v>1.4200330830396868</v>
      </c>
    </row>
    <row r="8" spans="1:25" ht="12.75">
      <c r="A8" s="30" t="s">
        <v>4</v>
      </c>
      <c r="B8" s="26">
        <v>61.976</v>
      </c>
      <c r="C8" s="27">
        <v>61.975</v>
      </c>
      <c r="D8" s="32">
        <v>61.977</v>
      </c>
      <c r="E8" s="8">
        <f aca="true" t="shared" si="0" ref="E8:E17">AVERAGE(B8:D8)</f>
        <v>61.976</v>
      </c>
      <c r="F8" s="8">
        <f aca="true" t="shared" si="1" ref="F8:F17">STDEV(B8:D8)</f>
        <v>0.0009999997145204863</v>
      </c>
      <c r="G8" s="26">
        <v>61.982</v>
      </c>
      <c r="H8" s="27">
        <v>61.983</v>
      </c>
      <c r="I8" s="32">
        <v>61.982</v>
      </c>
      <c r="J8" s="8">
        <f aca="true" t="shared" si="2" ref="J8:J17">AVERAGE(G8:I8)</f>
        <v>61.98233333333334</v>
      </c>
      <c r="K8" s="8">
        <f aca="true" t="shared" si="3" ref="K8:K17">STDEV(G8:I8)</f>
        <v>0.0005773511545613181</v>
      </c>
      <c r="L8" s="14">
        <f aca="true" t="shared" si="4" ref="L8:L17">J8-E8</f>
        <v>0.006333333333337521</v>
      </c>
      <c r="M8" s="20"/>
      <c r="N8" s="20"/>
      <c r="O8" s="34"/>
      <c r="P8" s="13"/>
      <c r="Q8" s="6">
        <f>K8/L8</f>
        <v>0.09116070861488469</v>
      </c>
      <c r="R8" s="14"/>
      <c r="S8" s="6"/>
      <c r="T8" s="19"/>
      <c r="U8" s="8"/>
      <c r="V8" s="24"/>
      <c r="W8" s="19"/>
      <c r="X8" s="20"/>
      <c r="Y8" s="24"/>
    </row>
    <row r="9" spans="1:25" ht="12.75">
      <c r="A9" s="30" t="s">
        <v>5</v>
      </c>
      <c r="B9" s="26">
        <v>78.051</v>
      </c>
      <c r="C9" s="27"/>
      <c r="D9" s="32"/>
      <c r="E9" s="8">
        <f t="shared" si="0"/>
        <v>78.051</v>
      </c>
      <c r="F9" s="8" t="e">
        <f t="shared" si="1"/>
        <v>#DIV/0!</v>
      </c>
      <c r="G9" s="26">
        <v>78.055</v>
      </c>
      <c r="H9" s="27">
        <v>78.056</v>
      </c>
      <c r="I9" s="32">
        <v>78.056</v>
      </c>
      <c r="J9" s="8">
        <f t="shared" si="2"/>
        <v>78.05566666666665</v>
      </c>
      <c r="K9" s="8">
        <f t="shared" si="3"/>
        <v>0.0005773519422050894</v>
      </c>
      <c r="L9" s="14">
        <f t="shared" si="4"/>
        <v>0.004666666666651054</v>
      </c>
      <c r="M9" s="20">
        <f>1000*10000*SUM(L9:L11)/($D$20*$D$26)</f>
        <v>0.6962707364748982</v>
      </c>
      <c r="N9" s="21" t="s">
        <v>28</v>
      </c>
      <c r="O9" s="34">
        <f>M9*AVERAGE(Q9:Q11)</f>
        <v>0.1441637494465312</v>
      </c>
      <c r="P9" s="13" t="s">
        <v>24</v>
      </c>
      <c r="Q9" s="6">
        <f>K9/L9</f>
        <v>0.12371827333007593</v>
      </c>
      <c r="R9" s="14">
        <f>SUM(L9:L11)*(2*17+$D$30)/17</f>
        <v>0.027196850393654968</v>
      </c>
      <c r="S9" s="6"/>
      <c r="T9" s="19"/>
      <c r="U9" s="18"/>
      <c r="V9" s="24"/>
      <c r="W9" s="19"/>
      <c r="X9" s="21"/>
      <c r="Y9" s="24"/>
    </row>
    <row r="10" spans="1:25" ht="12.75">
      <c r="A10" s="30" t="s">
        <v>6</v>
      </c>
      <c r="B10" s="26">
        <v>73.711</v>
      </c>
      <c r="C10" s="27"/>
      <c r="D10" s="32"/>
      <c r="E10" s="8">
        <f t="shared" si="0"/>
        <v>73.711</v>
      </c>
      <c r="F10" s="8" t="e">
        <f t="shared" si="1"/>
        <v>#DIV/0!</v>
      </c>
      <c r="G10" s="26">
        <v>73.714</v>
      </c>
      <c r="H10" s="27">
        <v>73.713</v>
      </c>
      <c r="I10" s="32">
        <v>73.713</v>
      </c>
      <c r="J10" s="8">
        <f t="shared" si="2"/>
        <v>73.71333333333332</v>
      </c>
      <c r="K10" s="8">
        <f t="shared" si="3"/>
        <v>0.0005773495792705521</v>
      </c>
      <c r="L10" s="14">
        <f t="shared" si="4"/>
        <v>0.002333333333325527</v>
      </c>
      <c r="M10" s="20"/>
      <c r="N10" s="20"/>
      <c r="O10" s="34"/>
      <c r="P10" s="13"/>
      <c r="Q10" s="6">
        <f>K10/L10</f>
        <v>0.2474355339739216</v>
      </c>
      <c r="R10" s="14"/>
      <c r="S10" s="6"/>
      <c r="T10" s="19"/>
      <c r="U10" s="8"/>
      <c r="V10" s="24"/>
      <c r="W10" s="19"/>
      <c r="X10" s="20"/>
      <c r="Y10" s="24"/>
    </row>
    <row r="11" spans="1:25" ht="12.75">
      <c r="A11" s="30" t="s">
        <v>7</v>
      </c>
      <c r="B11" s="26">
        <v>75.85</v>
      </c>
      <c r="C11" s="27"/>
      <c r="D11" s="32"/>
      <c r="E11" s="8">
        <f t="shared" si="0"/>
        <v>75.85</v>
      </c>
      <c r="F11" s="8" t="e">
        <f t="shared" si="1"/>
        <v>#DIV/0!</v>
      </c>
      <c r="G11" s="26">
        <v>75.854</v>
      </c>
      <c r="H11" s="27">
        <v>75.853</v>
      </c>
      <c r="I11" s="32">
        <v>75.855</v>
      </c>
      <c r="J11" s="8">
        <f t="shared" si="2"/>
        <v>75.854</v>
      </c>
      <c r="K11" s="8">
        <f t="shared" si="3"/>
        <v>0.0010000001692678636</v>
      </c>
      <c r="L11" s="14">
        <f t="shared" si="4"/>
        <v>0.0040000000000048885</v>
      </c>
      <c r="M11" s="20"/>
      <c r="N11" s="20"/>
      <c r="O11" s="34"/>
      <c r="P11" s="13"/>
      <c r="Q11" s="6">
        <f>K11/L11</f>
        <v>0.2500000423166604</v>
      </c>
      <c r="R11" s="14"/>
      <c r="S11" s="6"/>
      <c r="T11" s="19"/>
      <c r="U11" s="8"/>
      <c r="V11" s="24"/>
      <c r="W11" s="19"/>
      <c r="X11" s="20"/>
      <c r="Y11" s="24"/>
    </row>
    <row r="12" spans="1:25" ht="12.75">
      <c r="A12" s="30"/>
      <c r="B12" s="26"/>
      <c r="C12" s="27"/>
      <c r="D12" s="32"/>
      <c r="E12" s="8"/>
      <c r="F12" s="8"/>
      <c r="G12" s="26"/>
      <c r="H12" s="27"/>
      <c r="I12" s="32"/>
      <c r="J12" s="8"/>
      <c r="K12" s="8"/>
      <c r="L12" s="14"/>
      <c r="M12" s="20"/>
      <c r="N12" s="20"/>
      <c r="O12" s="34"/>
      <c r="P12" s="13"/>
      <c r="Q12" s="6"/>
      <c r="R12" s="14"/>
      <c r="S12" s="6"/>
      <c r="T12" s="19"/>
      <c r="U12" s="8"/>
      <c r="V12" s="24"/>
      <c r="W12" s="19"/>
      <c r="X12" s="20"/>
      <c r="Y12" s="24"/>
    </row>
    <row r="13" spans="1:25" ht="12.75">
      <c r="A13" s="30" t="s">
        <v>8</v>
      </c>
      <c r="B13" s="26">
        <v>57.587</v>
      </c>
      <c r="C13" s="27">
        <v>57.584</v>
      </c>
      <c r="D13" s="32">
        <v>57.586</v>
      </c>
      <c r="E13" s="8">
        <f t="shared" si="0"/>
        <v>57.58566666666667</v>
      </c>
      <c r="F13" s="8">
        <f t="shared" si="1"/>
        <v>0.0015275251925108782</v>
      </c>
      <c r="G13" s="26">
        <v>57.604</v>
      </c>
      <c r="H13" s="27">
        <v>57.603</v>
      </c>
      <c r="I13" s="32">
        <v>57.602</v>
      </c>
      <c r="J13" s="8">
        <f t="shared" si="2"/>
        <v>57.603</v>
      </c>
      <c r="K13" s="8">
        <f t="shared" si="3"/>
        <v>0.0009999997145204863</v>
      </c>
      <c r="L13" s="14">
        <f t="shared" si="4"/>
        <v>0.0173333333333332</v>
      </c>
      <c r="M13" s="20">
        <f>1000*10000*(L13+L14)/($D$21*$D$26)</f>
        <v>3.8642546173969285</v>
      </c>
      <c r="N13" s="21" t="s">
        <v>28</v>
      </c>
      <c r="O13" s="34">
        <f>M13*AVERAGE(Q13:Q14)</f>
        <v>0.21604847003799485</v>
      </c>
      <c r="P13" s="13" t="s">
        <v>23</v>
      </c>
      <c r="Q13" s="6">
        <f>K13/L13</f>
        <v>0.05769229122233619</v>
      </c>
      <c r="R13" s="14">
        <f>L13*3</f>
        <v>0.0519999999999996</v>
      </c>
      <c r="S13" s="8">
        <f>R13+R15</f>
        <v>0.2118845144356973</v>
      </c>
      <c r="T13" s="19">
        <f>1000*10000*S13/($D$26*$D$35)</f>
        <v>27.004067987140676</v>
      </c>
      <c r="U13" s="18" t="s">
        <v>28</v>
      </c>
      <c r="V13" s="24">
        <f>Q13*T13</f>
        <v>1.5579265545018857</v>
      </c>
      <c r="W13" s="19">
        <f>1000*10000*SUM(L13:L17)/($D$35*$D$26)</f>
        <v>11.810098408903679</v>
      </c>
      <c r="X13" s="21" t="s">
        <v>28</v>
      </c>
      <c r="Y13" s="24">
        <f>T13*Q13</f>
        <v>1.5579265545018857</v>
      </c>
    </row>
    <row r="14" spans="1:25" ht="12.75">
      <c r="A14" s="30" t="s">
        <v>9</v>
      </c>
      <c r="B14" s="26">
        <v>57.105</v>
      </c>
      <c r="C14" s="27">
        <v>57.105</v>
      </c>
      <c r="D14" s="32">
        <v>57.104</v>
      </c>
      <c r="E14" s="8">
        <f t="shared" si="0"/>
        <v>57.10466666666667</v>
      </c>
      <c r="F14" s="8">
        <f t="shared" si="1"/>
        <v>0.0005773503669164724</v>
      </c>
      <c r="G14" s="26">
        <v>57.115</v>
      </c>
      <c r="H14" s="27">
        <v>57.116</v>
      </c>
      <c r="I14" s="32">
        <v>57.115</v>
      </c>
      <c r="J14" s="8">
        <f t="shared" si="2"/>
        <v>57.11533333333333</v>
      </c>
      <c r="K14" s="8">
        <f t="shared" si="3"/>
        <v>0.0005773511545613181</v>
      </c>
      <c r="L14" s="14">
        <f t="shared" si="4"/>
        <v>0.010666666666665492</v>
      </c>
      <c r="M14" s="20"/>
      <c r="N14" s="20"/>
      <c r="O14" s="34"/>
      <c r="P14" s="13"/>
      <c r="Q14" s="6">
        <f>K14/L14</f>
        <v>0.054126670740129536</v>
      </c>
      <c r="R14" s="14"/>
      <c r="S14" s="6"/>
      <c r="T14" s="19"/>
      <c r="U14" s="8"/>
      <c r="V14" s="24"/>
      <c r="W14" s="44"/>
      <c r="X14" s="8"/>
      <c r="Y14" s="38"/>
    </row>
    <row r="15" spans="1:25" ht="12.75">
      <c r="A15" s="30" t="s">
        <v>10</v>
      </c>
      <c r="B15" s="26">
        <v>83.248</v>
      </c>
      <c r="C15" s="27"/>
      <c r="D15" s="32"/>
      <c r="E15" s="8">
        <f t="shared" si="0"/>
        <v>83.248</v>
      </c>
      <c r="F15" s="8" t="e">
        <f t="shared" si="1"/>
        <v>#DIV/0!</v>
      </c>
      <c r="G15" s="26">
        <v>83.263</v>
      </c>
      <c r="H15" s="27">
        <v>83.265</v>
      </c>
      <c r="I15" s="32"/>
      <c r="J15" s="8">
        <f t="shared" si="2"/>
        <v>83.26400000000001</v>
      </c>
      <c r="K15" s="8">
        <f t="shared" si="3"/>
        <v>0.0014142125155338942</v>
      </c>
      <c r="L15" s="14">
        <f t="shared" si="4"/>
        <v>0.016000000000005343</v>
      </c>
      <c r="M15" s="20">
        <f>1000*10000*SUM(L15:L17)/($D$20*$D$26)</f>
        <v>4.093227965950292</v>
      </c>
      <c r="N15" s="21" t="s">
        <v>28</v>
      </c>
      <c r="O15" s="34">
        <f>M15*AVERAGE(Q15:Q17)</f>
        <v>0.2725632702419405</v>
      </c>
      <c r="P15" s="13" t="s">
        <v>24</v>
      </c>
      <c r="Q15" s="6">
        <f>K15/L15</f>
        <v>0.08838828222083887</v>
      </c>
      <c r="R15" s="14">
        <f>SUM(L15:L17)*(2*17+$D$30)/17</f>
        <v>0.1598845144356977</v>
      </c>
      <c r="S15" s="6"/>
      <c r="T15" s="19"/>
      <c r="U15" s="18"/>
      <c r="V15" s="24"/>
      <c r="W15" s="44"/>
      <c r="X15" s="18"/>
      <c r="Y15" s="38"/>
    </row>
    <row r="16" spans="1:25" ht="12.75">
      <c r="A16" s="30" t="s">
        <v>11</v>
      </c>
      <c r="B16" s="26">
        <v>81.206</v>
      </c>
      <c r="C16" s="27"/>
      <c r="D16" s="32"/>
      <c r="E16" s="8">
        <f t="shared" si="0"/>
        <v>81.206</v>
      </c>
      <c r="F16" s="8" t="e">
        <f t="shared" si="1"/>
        <v>#DIV/0!</v>
      </c>
      <c r="G16" s="26">
        <v>81.224</v>
      </c>
      <c r="H16" s="27">
        <v>81.221</v>
      </c>
      <c r="I16" s="32">
        <v>81.222</v>
      </c>
      <c r="J16" s="8">
        <f t="shared" si="2"/>
        <v>81.22233333333332</v>
      </c>
      <c r="K16" s="8">
        <f t="shared" si="3"/>
        <v>0.0015275254902128793</v>
      </c>
      <c r="L16" s="14">
        <f t="shared" si="4"/>
        <v>0.01633333333332132</v>
      </c>
      <c r="M16" s="20"/>
      <c r="N16" s="20"/>
      <c r="O16" s="34"/>
      <c r="P16" s="13"/>
      <c r="Q16" s="6">
        <f>K16/L16</f>
        <v>0.09352196878861241</v>
      </c>
      <c r="R16" s="14"/>
      <c r="S16" s="6"/>
      <c r="T16" s="19"/>
      <c r="U16" s="8"/>
      <c r="V16" s="24"/>
      <c r="W16" s="44"/>
      <c r="X16" s="8"/>
      <c r="Y16" s="38"/>
    </row>
    <row r="17" spans="1:25" ht="12.75">
      <c r="A17" s="31" t="s">
        <v>12</v>
      </c>
      <c r="B17" s="28">
        <v>79.716</v>
      </c>
      <c r="C17" s="29"/>
      <c r="D17" s="33"/>
      <c r="E17" s="11">
        <f t="shared" si="0"/>
        <v>79.716</v>
      </c>
      <c r="F17" s="11" t="e">
        <f t="shared" si="1"/>
        <v>#DIV/0!</v>
      </c>
      <c r="G17" s="28">
        <v>79.748</v>
      </c>
      <c r="H17" s="29">
        <v>79.749</v>
      </c>
      <c r="I17" s="33">
        <v>79.748</v>
      </c>
      <c r="J17" s="11">
        <f t="shared" si="2"/>
        <v>79.74833333333333</v>
      </c>
      <c r="K17" s="11">
        <f t="shared" si="3"/>
        <v>0.0005773519422050894</v>
      </c>
      <c r="L17" s="15">
        <f t="shared" si="4"/>
        <v>0.032333333333340875</v>
      </c>
      <c r="M17" s="23"/>
      <c r="N17" s="23"/>
      <c r="O17" s="35"/>
      <c r="P17" s="16"/>
      <c r="Q17" s="10">
        <f>K17/L17</f>
        <v>0.017856245635204784</v>
      </c>
      <c r="R17" s="15"/>
      <c r="S17" s="10"/>
      <c r="T17" s="22"/>
      <c r="U17" s="11"/>
      <c r="V17" s="25"/>
      <c r="W17" s="45"/>
      <c r="X17" s="11"/>
      <c r="Y17" s="39"/>
    </row>
    <row r="20" spans="1:5" ht="12.75">
      <c r="A20" t="s">
        <v>16</v>
      </c>
      <c r="D20">
        <f>97*16.83*(2.54^2)</f>
        <v>10532.301515999998</v>
      </c>
      <c r="E20" t="s">
        <v>17</v>
      </c>
    </row>
    <row r="21" spans="1:5" ht="12.75">
      <c r="A21" t="s">
        <v>18</v>
      </c>
      <c r="D21">
        <f>2.54^2*0.25*PI()*(97/PI())^2</f>
        <v>4830.59956314169</v>
      </c>
      <c r="E21" t="s">
        <v>17</v>
      </c>
    </row>
    <row r="23" spans="1:4" ht="12.75">
      <c r="A23" t="s">
        <v>20</v>
      </c>
      <c r="D23" s="1">
        <v>0.8125</v>
      </c>
    </row>
    <row r="24" spans="1:4" ht="12.75">
      <c r="A24" t="s">
        <v>37</v>
      </c>
      <c r="D24" s="1">
        <v>0.8229166666666666</v>
      </c>
    </row>
    <row r="25" spans="1:5" ht="12.75">
      <c r="A25" t="s">
        <v>19</v>
      </c>
      <c r="D25" s="1">
        <f>D24-D23</f>
        <v>0.01041666666666663</v>
      </c>
      <c r="E25" t="s">
        <v>22</v>
      </c>
    </row>
    <row r="26" spans="4:5" ht="12.75">
      <c r="D26" s="43">
        <f>D25*24*60</f>
        <v>14.999999999999947</v>
      </c>
      <c r="E26" t="s">
        <v>21</v>
      </c>
    </row>
    <row r="28" spans="1:5" ht="12.75">
      <c r="A28" t="s">
        <v>29</v>
      </c>
      <c r="D28">
        <f>2.54^2*30.4^2*PI()/2</f>
        <v>9365.57567765487</v>
      </c>
      <c r="E28" t="s">
        <v>17</v>
      </c>
    </row>
    <row r="29" spans="1:5" ht="12.75">
      <c r="A29" t="s">
        <v>30</v>
      </c>
      <c r="D29">
        <f>29.5*(30.8*2.54)*PI()</f>
        <v>7250.305756031283</v>
      </c>
      <c r="E29" t="s">
        <v>17</v>
      </c>
    </row>
    <row r="30" spans="1:5" ht="12.75">
      <c r="A30" t="s">
        <v>31</v>
      </c>
      <c r="D30">
        <f>204/25.4</f>
        <v>8.031496062992126</v>
      </c>
      <c r="E30" t="s">
        <v>26</v>
      </c>
    </row>
    <row r="34" spans="1:5" ht="12.75">
      <c r="A34" t="s">
        <v>25</v>
      </c>
      <c r="D34">
        <v>32.13</v>
      </c>
      <c r="E34" t="s">
        <v>26</v>
      </c>
    </row>
    <row r="35" spans="1:5" ht="12.75">
      <c r="A35" t="s">
        <v>27</v>
      </c>
      <c r="D35">
        <f>2.54^2*D34^2*PI()/4</f>
        <v>5230.928281783257</v>
      </c>
      <c r="E35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5"/>
  <sheetViews>
    <sheetView workbookViewId="0" topLeftCell="A1">
      <selection activeCell="H24" sqref="H24"/>
    </sheetView>
  </sheetViews>
  <sheetFormatPr defaultColWidth="9.140625" defaultRowHeight="12.75"/>
  <cols>
    <col min="1" max="1" width="11.140625" style="0" customWidth="1"/>
    <col min="2" max="4" width="7.140625" style="0" customWidth="1"/>
    <col min="5" max="5" width="7.8515625" style="0" customWidth="1"/>
    <col min="6" max="6" width="7.421875" style="0" customWidth="1"/>
    <col min="7" max="9" width="7.140625" style="0" customWidth="1"/>
    <col min="10" max="10" width="7.8515625" style="0" customWidth="1"/>
    <col min="11" max="11" width="7.421875" style="0" customWidth="1"/>
    <col min="12" max="12" width="6.8515625" style="0" customWidth="1"/>
    <col min="13" max="13" width="10.8515625" style="0" customWidth="1"/>
    <col min="14" max="14" width="3.140625" style="0" customWidth="1"/>
    <col min="15" max="15" width="6.7109375" style="0" customWidth="1"/>
    <col min="16" max="16" width="7.421875" style="0" customWidth="1"/>
    <col min="17" max="17" width="7.28125" style="0" customWidth="1"/>
    <col min="19" max="19" width="12.00390625" style="0" customWidth="1"/>
    <col min="20" max="20" width="14.57421875" style="0" customWidth="1"/>
    <col min="21" max="21" width="3.140625" style="0" customWidth="1"/>
    <col min="22" max="22" width="4.7109375" style="0" customWidth="1"/>
    <col min="23" max="23" width="13.140625" style="0" customWidth="1"/>
    <col min="24" max="24" width="3.00390625" style="0" customWidth="1"/>
    <col min="25" max="25" width="4.28125" style="0" customWidth="1"/>
  </cols>
  <sheetData>
    <row r="2" spans="1:25" ht="12.75">
      <c r="A2" s="2"/>
      <c r="B2" s="2"/>
      <c r="C2" s="3"/>
      <c r="D2" s="4"/>
      <c r="E2" s="3"/>
      <c r="F2" s="4"/>
      <c r="G2" s="3"/>
      <c r="H2" s="3"/>
      <c r="I2" s="3"/>
      <c r="J2" s="12"/>
      <c r="K2" s="3"/>
      <c r="L2" s="12"/>
      <c r="M2" s="3" t="s">
        <v>43</v>
      </c>
      <c r="N2" s="3"/>
      <c r="O2" s="3"/>
      <c r="P2" s="12"/>
      <c r="Q2" s="3"/>
      <c r="R2" s="12"/>
      <c r="S2" s="3"/>
      <c r="T2" s="2"/>
      <c r="U2" s="3"/>
      <c r="V2" s="4"/>
      <c r="W2" s="40" t="s">
        <v>42</v>
      </c>
      <c r="X2" s="3"/>
      <c r="Y2" s="4"/>
    </row>
    <row r="3" spans="1:25" ht="12.75">
      <c r="A3" s="5" t="s">
        <v>0</v>
      </c>
      <c r="B3" s="5" t="s">
        <v>1</v>
      </c>
      <c r="C3" s="6"/>
      <c r="D3" s="7"/>
      <c r="E3" s="6"/>
      <c r="F3" s="7"/>
      <c r="G3" s="6" t="s">
        <v>2</v>
      </c>
      <c r="H3" s="6"/>
      <c r="I3" s="6"/>
      <c r="J3" s="13"/>
      <c r="K3" s="6"/>
      <c r="L3" s="13" t="s">
        <v>15</v>
      </c>
      <c r="M3" s="6" t="s">
        <v>39</v>
      </c>
      <c r="N3" s="6"/>
      <c r="O3" s="6"/>
      <c r="P3" s="13"/>
      <c r="Q3" s="6" t="s">
        <v>38</v>
      </c>
      <c r="R3" s="13" t="s">
        <v>15</v>
      </c>
      <c r="S3" s="6" t="s">
        <v>34</v>
      </c>
      <c r="T3" s="5" t="s">
        <v>32</v>
      </c>
      <c r="U3" s="6"/>
      <c r="V3" s="7"/>
      <c r="W3" s="5" t="s">
        <v>32</v>
      </c>
      <c r="X3" s="6"/>
      <c r="Y3" s="7"/>
    </row>
    <row r="4" spans="1:25" ht="12.75">
      <c r="A4" s="5"/>
      <c r="B4" s="5"/>
      <c r="C4" s="6"/>
      <c r="D4" s="7"/>
      <c r="E4" s="6" t="s">
        <v>13</v>
      </c>
      <c r="F4" s="7" t="s">
        <v>14</v>
      </c>
      <c r="G4" s="6"/>
      <c r="H4" s="6"/>
      <c r="I4" s="6"/>
      <c r="J4" s="13" t="s">
        <v>13</v>
      </c>
      <c r="K4" s="6" t="s">
        <v>14</v>
      </c>
      <c r="L4" s="13"/>
      <c r="M4" s="6"/>
      <c r="N4" s="6"/>
      <c r="O4" s="6"/>
      <c r="P4" s="13"/>
      <c r="Q4" s="6" t="s">
        <v>15</v>
      </c>
      <c r="R4" s="13" t="s">
        <v>32</v>
      </c>
      <c r="S4" s="6" t="s">
        <v>32</v>
      </c>
      <c r="T4" s="5" t="s">
        <v>40</v>
      </c>
      <c r="U4" s="6"/>
      <c r="V4" s="7"/>
      <c r="W4" s="5" t="s">
        <v>40</v>
      </c>
      <c r="X4" s="6"/>
      <c r="Y4" s="7"/>
    </row>
    <row r="5" spans="1:25" ht="12.75">
      <c r="A5" s="5"/>
      <c r="B5" s="5"/>
      <c r="C5" s="6"/>
      <c r="D5" s="7"/>
      <c r="E5" s="6"/>
      <c r="F5" s="7"/>
      <c r="G5" s="6"/>
      <c r="H5" s="6"/>
      <c r="I5" s="6"/>
      <c r="J5" s="13"/>
      <c r="K5" s="6"/>
      <c r="L5" s="13"/>
      <c r="M5" s="6"/>
      <c r="N5" s="6"/>
      <c r="O5" s="6"/>
      <c r="P5" s="13"/>
      <c r="Q5" s="6"/>
      <c r="R5" s="13"/>
      <c r="S5" s="6" t="s">
        <v>35</v>
      </c>
      <c r="T5" s="5" t="s">
        <v>41</v>
      </c>
      <c r="U5" s="6"/>
      <c r="V5" s="7"/>
      <c r="W5" s="5" t="s">
        <v>41</v>
      </c>
      <c r="X5" s="6"/>
      <c r="Y5" s="7"/>
    </row>
    <row r="6" spans="1:25" ht="12.75">
      <c r="A6" s="9"/>
      <c r="B6" s="9" t="s">
        <v>33</v>
      </c>
      <c r="C6" s="10"/>
      <c r="D6" s="17"/>
      <c r="E6" s="10" t="s">
        <v>33</v>
      </c>
      <c r="F6" s="17" t="s">
        <v>33</v>
      </c>
      <c r="G6" s="10" t="s">
        <v>33</v>
      </c>
      <c r="H6" s="10"/>
      <c r="I6" s="10"/>
      <c r="J6" s="16" t="s">
        <v>33</v>
      </c>
      <c r="K6" s="10" t="s">
        <v>33</v>
      </c>
      <c r="L6" s="16" t="s">
        <v>33</v>
      </c>
      <c r="M6" s="10" t="s">
        <v>36</v>
      </c>
      <c r="N6" s="10"/>
      <c r="O6" s="10"/>
      <c r="P6" s="16"/>
      <c r="Q6" s="10"/>
      <c r="R6" s="16" t="s">
        <v>33</v>
      </c>
      <c r="S6" s="10" t="s">
        <v>33</v>
      </c>
      <c r="T6" s="9" t="s">
        <v>36</v>
      </c>
      <c r="U6" s="10"/>
      <c r="V6" s="17"/>
      <c r="W6" s="9" t="s">
        <v>36</v>
      </c>
      <c r="X6" s="10"/>
      <c r="Y6" s="17"/>
    </row>
    <row r="7" spans="1:25" ht="12.75">
      <c r="A7" s="30" t="s">
        <v>3</v>
      </c>
      <c r="B7" s="26">
        <v>58.537</v>
      </c>
      <c r="C7" s="27">
        <v>58.539</v>
      </c>
      <c r="D7" s="32">
        <v>58.54</v>
      </c>
      <c r="E7" s="8">
        <f>AVERAGE(B7:D7)</f>
        <v>58.538666666666664</v>
      </c>
      <c r="F7" s="8">
        <f>STDEV(B7:D7)</f>
        <v>0.0015275254902128793</v>
      </c>
      <c r="G7" s="26">
        <v>58.671</v>
      </c>
      <c r="H7" s="27">
        <v>58.671</v>
      </c>
      <c r="I7" s="27">
        <v>58.673</v>
      </c>
      <c r="J7" s="14">
        <f>AVERAGE(G7:I7)</f>
        <v>58.67166666666666</v>
      </c>
      <c r="K7" s="8">
        <f>STDEV(G7:I7)</f>
        <v>0.0011547007338329448</v>
      </c>
      <c r="L7" s="14">
        <f>J7-E7</f>
        <v>0.13299999999999557</v>
      </c>
      <c r="M7" s="41">
        <f>1000*10000*(L7+L8)/($D$21*$D$26)</f>
        <v>0.8863211551837676</v>
      </c>
      <c r="N7" s="21" t="s">
        <v>28</v>
      </c>
      <c r="O7" s="36">
        <f>M7*AVERAGE(Q7:Q8)</f>
        <v>0.0038475025876029845</v>
      </c>
      <c r="P7" s="13" t="s">
        <v>23</v>
      </c>
      <c r="Q7" s="6">
        <f>K7/L7</f>
        <v>0.008681960404759272</v>
      </c>
      <c r="R7" s="14">
        <f>L7*3</f>
        <v>0.3989999999999867</v>
      </c>
      <c r="S7" s="8">
        <f>R7+R9</f>
        <v>1.6739553805774705</v>
      </c>
      <c r="T7" s="19">
        <f>1000*10000*S7/($D$26*$D$35)</f>
        <v>4.081774885997924</v>
      </c>
      <c r="U7" s="18" t="s">
        <v>28</v>
      </c>
      <c r="V7" s="38">
        <f>Q7*T7</f>
        <v>0.03543780794137477</v>
      </c>
      <c r="W7" s="44">
        <f>1000*10000*SUM(L7:L11)/($D$35*$D$26)</f>
        <v>2.075892260888222</v>
      </c>
      <c r="X7" s="18" t="s">
        <v>28</v>
      </c>
      <c r="Y7" s="38">
        <f>T7*Q7</f>
        <v>0.03543780794137477</v>
      </c>
    </row>
    <row r="8" spans="1:25" ht="12.75">
      <c r="A8" s="30" t="s">
        <v>4</v>
      </c>
      <c r="B8" s="26">
        <v>61.982</v>
      </c>
      <c r="C8" s="27">
        <v>61.983</v>
      </c>
      <c r="D8" s="32">
        <v>61.982</v>
      </c>
      <c r="E8" s="8">
        <f aca="true" t="shared" si="0" ref="E8:E17">AVERAGE(B8:D8)</f>
        <v>61.98233333333334</v>
      </c>
      <c r="F8" s="8">
        <f aca="true" t="shared" si="1" ref="F8:F17">STDEV(B8:D8)</f>
        <v>0.0005773511545613181</v>
      </c>
      <c r="G8" s="26">
        <v>62.185</v>
      </c>
      <c r="H8" s="27">
        <v>62.185</v>
      </c>
      <c r="I8" s="27">
        <v>62.185</v>
      </c>
      <c r="J8" s="14">
        <f aca="true" t="shared" si="2" ref="J8:J17">AVERAGE(G8:I8)</f>
        <v>62.185</v>
      </c>
      <c r="K8" s="8">
        <f aca="true" t="shared" si="3" ref="K8:K17">STDEV(G8:I8)</f>
        <v>0</v>
      </c>
      <c r="L8" s="14">
        <f aca="true" t="shared" si="4" ref="L8:L17">J8-E8</f>
        <v>0.20266666666666566</v>
      </c>
      <c r="M8" s="41"/>
      <c r="N8" s="20"/>
      <c r="O8" s="36"/>
      <c r="P8" s="13"/>
      <c r="Q8" s="6">
        <f>K8/L8</f>
        <v>0</v>
      </c>
      <c r="R8" s="14"/>
      <c r="S8" s="6"/>
      <c r="T8" s="19"/>
      <c r="U8" s="8"/>
      <c r="V8" s="38"/>
      <c r="W8" s="5"/>
      <c r="X8" s="8"/>
      <c r="Y8" s="38"/>
    </row>
    <row r="9" spans="1:25" ht="12.75">
      <c r="A9" s="30" t="s">
        <v>5</v>
      </c>
      <c r="B9" s="26">
        <v>78.055</v>
      </c>
      <c r="C9" s="27">
        <v>78.056</v>
      </c>
      <c r="D9" s="32">
        <v>78.056</v>
      </c>
      <c r="E9" s="8">
        <f t="shared" si="0"/>
        <v>78.05566666666665</v>
      </c>
      <c r="F9" s="8">
        <f t="shared" si="1"/>
        <v>0.0005773519422050894</v>
      </c>
      <c r="G9" s="26">
        <v>78.216</v>
      </c>
      <c r="H9" s="27">
        <v>78.216</v>
      </c>
      <c r="I9" s="27">
        <v>78.218</v>
      </c>
      <c r="J9" s="14">
        <f t="shared" si="2"/>
        <v>78.21666666666665</v>
      </c>
      <c r="K9" s="8">
        <f t="shared" si="3"/>
        <v>0.0011547015214780592</v>
      </c>
      <c r="L9" s="14">
        <f t="shared" si="4"/>
        <v>0.16100000000000136</v>
      </c>
      <c r="M9" s="41">
        <f>1000*10000*SUM(L9:L11)/($D$20*$D$26)</f>
        <v>0.6244960745179301</v>
      </c>
      <c r="N9" s="21" t="s">
        <v>28</v>
      </c>
      <c r="O9" s="36">
        <f>M9*AVERAGE(Q9:Q11)</f>
        <v>0.00353821650999273</v>
      </c>
      <c r="P9" s="13" t="s">
        <v>24</v>
      </c>
      <c r="Q9" s="6">
        <f>K9/L9</f>
        <v>0.007172059139615214</v>
      </c>
      <c r="R9" s="14">
        <f>SUM(L9:L11)*(2*17+$D$30)/17</f>
        <v>1.2749553805774838</v>
      </c>
      <c r="S9" s="6"/>
      <c r="T9" s="19"/>
      <c r="U9" s="18"/>
      <c r="V9" s="38"/>
      <c r="W9" s="5"/>
      <c r="X9" s="18"/>
      <c r="Y9" s="38"/>
    </row>
    <row r="10" spans="1:25" ht="12.75">
      <c r="A10" s="30" t="s">
        <v>6</v>
      </c>
      <c r="B10" s="26">
        <v>73.714</v>
      </c>
      <c r="C10" s="27">
        <v>73.713</v>
      </c>
      <c r="D10" s="32">
        <v>73.713</v>
      </c>
      <c r="E10" s="8">
        <f t="shared" si="0"/>
        <v>73.71333333333332</v>
      </c>
      <c r="F10" s="8">
        <f t="shared" si="1"/>
        <v>0.0005773495792705521</v>
      </c>
      <c r="G10" s="26">
        <v>73.887</v>
      </c>
      <c r="H10" s="27">
        <v>73.887</v>
      </c>
      <c r="I10" s="27">
        <v>73.889</v>
      </c>
      <c r="J10" s="14">
        <f t="shared" si="2"/>
        <v>73.88766666666668</v>
      </c>
      <c r="K10" s="8">
        <f t="shared" si="3"/>
        <v>0.001154700340010186</v>
      </c>
      <c r="L10" s="14">
        <f t="shared" si="4"/>
        <v>0.174333333333351</v>
      </c>
      <c r="M10" s="41"/>
      <c r="N10" s="20"/>
      <c r="O10" s="36"/>
      <c r="P10" s="13"/>
      <c r="Q10" s="6">
        <f>K10/L10</f>
        <v>0.006623520114780511</v>
      </c>
      <c r="R10" s="14"/>
      <c r="S10" s="6"/>
      <c r="T10" s="19"/>
      <c r="U10" s="8"/>
      <c r="V10" s="38"/>
      <c r="W10" s="5"/>
      <c r="X10" s="8"/>
      <c r="Y10" s="38"/>
    </row>
    <row r="11" spans="1:25" ht="12.75">
      <c r="A11" s="30" t="s">
        <v>7</v>
      </c>
      <c r="B11" s="26">
        <v>75.854</v>
      </c>
      <c r="C11" s="27">
        <v>75.853</v>
      </c>
      <c r="D11" s="32">
        <v>75.855</v>
      </c>
      <c r="E11" s="8">
        <f t="shared" si="0"/>
        <v>75.854</v>
      </c>
      <c r="F11" s="8">
        <f t="shared" si="1"/>
        <v>0.0010000001692678636</v>
      </c>
      <c r="G11" s="26">
        <v>76.034</v>
      </c>
      <c r="H11" s="27">
        <v>76.034</v>
      </c>
      <c r="I11" s="27">
        <v>76.035</v>
      </c>
      <c r="J11" s="14">
        <f t="shared" si="2"/>
        <v>76.03433333333334</v>
      </c>
      <c r="K11" s="8">
        <f t="shared" si="3"/>
        <v>0.0005773487916235573</v>
      </c>
      <c r="L11" s="14">
        <f t="shared" si="4"/>
        <v>0.180333333333337</v>
      </c>
      <c r="M11" s="41"/>
      <c r="N11" s="20"/>
      <c r="O11" s="36"/>
      <c r="P11" s="13"/>
      <c r="Q11" s="6">
        <f>K11/L11</f>
        <v>0.0032015644637165184</v>
      </c>
      <c r="R11" s="14"/>
      <c r="S11" s="6"/>
      <c r="T11" s="19"/>
      <c r="U11" s="8"/>
      <c r="V11" s="38"/>
      <c r="W11" s="5"/>
      <c r="X11" s="8"/>
      <c r="Y11" s="38"/>
    </row>
    <row r="12" spans="1:25" ht="12.75">
      <c r="A12" s="30"/>
      <c r="B12" s="26"/>
      <c r="C12" s="27"/>
      <c r="D12" s="32"/>
      <c r="E12" s="8"/>
      <c r="F12" s="8"/>
      <c r="G12" s="26"/>
      <c r="H12" s="27"/>
      <c r="I12" s="27"/>
      <c r="J12" s="14"/>
      <c r="K12" s="8"/>
      <c r="L12" s="14"/>
      <c r="M12" s="41"/>
      <c r="N12" s="20"/>
      <c r="O12" s="36"/>
      <c r="P12" s="13"/>
      <c r="Q12" s="6"/>
      <c r="R12" s="14"/>
      <c r="S12" s="6"/>
      <c r="T12" s="19"/>
      <c r="U12" s="8"/>
      <c r="V12" s="38"/>
      <c r="W12" s="5"/>
      <c r="X12" s="8"/>
      <c r="Y12" s="38"/>
    </row>
    <row r="13" spans="1:25" ht="12.75">
      <c r="A13" s="30" t="s">
        <v>8</v>
      </c>
      <c r="B13" s="26">
        <v>57.604</v>
      </c>
      <c r="C13" s="27">
        <v>57.603</v>
      </c>
      <c r="D13" s="32">
        <v>57.602</v>
      </c>
      <c r="E13" s="8">
        <f t="shared" si="0"/>
        <v>57.603</v>
      </c>
      <c r="F13" s="8">
        <f t="shared" si="1"/>
        <v>0.0009999997145204863</v>
      </c>
      <c r="G13" s="26">
        <v>58.006</v>
      </c>
      <c r="H13" s="27">
        <v>58.005</v>
      </c>
      <c r="I13" s="27">
        <v>58.006</v>
      </c>
      <c r="J13" s="14">
        <f t="shared" si="2"/>
        <v>58.00566666666666</v>
      </c>
      <c r="K13" s="8">
        <f t="shared" si="3"/>
        <v>0.0005773503669164724</v>
      </c>
      <c r="L13" s="14">
        <f t="shared" si="4"/>
        <v>0.4026666666666614</v>
      </c>
      <c r="M13" s="41">
        <f>1000*10000*(L13+L14)/($D$21*$D$26)</f>
        <v>2.7909874707922135</v>
      </c>
      <c r="N13" s="21" t="s">
        <v>28</v>
      </c>
      <c r="O13" s="36">
        <f>M13*AVERAGE(Q13:Q14)</f>
        <v>0.0032321970230387</v>
      </c>
      <c r="P13" s="13" t="s">
        <v>23</v>
      </c>
      <c r="Q13" s="6">
        <f>K13/L13</f>
        <v>0.0014338171363819866</v>
      </c>
      <c r="R13" s="14">
        <f>L13*3</f>
        <v>1.2079999999999842</v>
      </c>
      <c r="S13" s="8">
        <f>R13+R15</f>
        <v>6.031732283464534</v>
      </c>
      <c r="T13" s="19">
        <f>1000*10000*S13/($D$26*$D$35)</f>
        <v>14.707783516437061</v>
      </c>
      <c r="U13" s="18" t="s">
        <v>28</v>
      </c>
      <c r="V13" s="38">
        <f>Q13*T13</f>
        <v>0.021088272044063973</v>
      </c>
      <c r="W13" s="44">
        <f>1000*10000*SUM(L13:L17)/($D$35*$D$26)</f>
        <v>7.3347109484161574</v>
      </c>
      <c r="X13" s="18" t="s">
        <v>28</v>
      </c>
      <c r="Y13" s="38">
        <f>T13*Q13</f>
        <v>0.021088272044063973</v>
      </c>
    </row>
    <row r="14" spans="1:25" ht="12.75">
      <c r="A14" s="30" t="s">
        <v>9</v>
      </c>
      <c r="B14" s="26">
        <v>57.115</v>
      </c>
      <c r="C14" s="27">
        <v>57.116</v>
      </c>
      <c r="D14" s="32">
        <v>57.115</v>
      </c>
      <c r="E14" s="8">
        <f t="shared" si="0"/>
        <v>57.11533333333333</v>
      </c>
      <c r="F14" s="8">
        <f t="shared" si="1"/>
        <v>0.0005773511545613181</v>
      </c>
      <c r="G14" s="26">
        <v>57.77</v>
      </c>
      <c r="H14" s="27">
        <v>57.769</v>
      </c>
      <c r="I14" s="27">
        <v>57.77</v>
      </c>
      <c r="J14" s="14">
        <f t="shared" si="2"/>
        <v>57.769666666666666</v>
      </c>
      <c r="K14" s="8">
        <f t="shared" si="3"/>
        <v>0.0005773511545613181</v>
      </c>
      <c r="L14" s="14">
        <f t="shared" si="4"/>
        <v>0.6543333333333337</v>
      </c>
      <c r="M14" s="41"/>
      <c r="N14" s="20"/>
      <c r="O14" s="36"/>
      <c r="P14" s="13"/>
      <c r="Q14" s="6">
        <f>K14/L14</f>
        <v>0.0008823502107406793</v>
      </c>
      <c r="R14" s="14"/>
      <c r="S14" s="6"/>
      <c r="T14" s="19"/>
      <c r="U14" s="8"/>
      <c r="V14" s="38"/>
      <c r="W14" s="5"/>
      <c r="X14" s="8"/>
      <c r="Y14" s="38"/>
    </row>
    <row r="15" spans="1:25" ht="12.75">
      <c r="A15" s="30" t="s">
        <v>10</v>
      </c>
      <c r="B15" s="26">
        <v>83.263</v>
      </c>
      <c r="C15" s="27">
        <v>83.265</v>
      </c>
      <c r="D15" s="32"/>
      <c r="E15" s="8">
        <f t="shared" si="0"/>
        <v>83.26400000000001</v>
      </c>
      <c r="F15" s="8">
        <f t="shared" si="1"/>
        <v>0.0014142125155338942</v>
      </c>
      <c r="G15" s="26">
        <v>83.763</v>
      </c>
      <c r="H15" s="27">
        <v>83.765</v>
      </c>
      <c r="I15" s="27">
        <v>83.765</v>
      </c>
      <c r="J15" s="14">
        <f t="shared" si="2"/>
        <v>83.76433333333334</v>
      </c>
      <c r="K15" s="8">
        <f t="shared" si="3"/>
        <v>0.0011547007338329448</v>
      </c>
      <c r="L15" s="14">
        <f t="shared" si="4"/>
        <v>0.5003333333333302</v>
      </c>
      <c r="M15" s="41">
        <f>1000*10000*SUM(L15:L17)/($D$20*$D$26)</f>
        <v>2.3627508236284887</v>
      </c>
      <c r="N15" s="21" t="s">
        <v>28</v>
      </c>
      <c r="O15" s="36">
        <f>M15*AVERAGE(Q15:Q17)</f>
        <v>0.0036364829638949165</v>
      </c>
      <c r="P15" s="13" t="s">
        <v>24</v>
      </c>
      <c r="Q15" s="6">
        <f>K15/L15</f>
        <v>0.002307862892404301</v>
      </c>
      <c r="R15" s="14">
        <f>SUM(L15:L17)*(2*17+$D$30)/17</f>
        <v>4.82373228346455</v>
      </c>
      <c r="S15" s="6"/>
      <c r="T15" s="19"/>
      <c r="U15" s="18"/>
      <c r="V15" s="38"/>
      <c r="W15" s="5"/>
      <c r="X15" s="18"/>
      <c r="Y15" s="38"/>
    </row>
    <row r="16" spans="1:25" ht="12.75">
      <c r="A16" s="30" t="s">
        <v>11</v>
      </c>
      <c r="B16" s="26">
        <v>81.224</v>
      </c>
      <c r="C16" s="27">
        <v>81.221</v>
      </c>
      <c r="D16" s="32">
        <v>81.222</v>
      </c>
      <c r="E16" s="8">
        <f t="shared" si="0"/>
        <v>81.22233333333332</v>
      </c>
      <c r="F16" s="8">
        <f t="shared" si="1"/>
        <v>0.0015275254902128793</v>
      </c>
      <c r="G16" s="26">
        <v>82.173</v>
      </c>
      <c r="H16" s="27">
        <v>82.173</v>
      </c>
      <c r="I16" s="27">
        <v>82.173</v>
      </c>
      <c r="J16" s="14">
        <f t="shared" si="2"/>
        <v>82.173</v>
      </c>
      <c r="K16" s="8">
        <f t="shared" si="3"/>
        <v>0</v>
      </c>
      <c r="L16" s="14">
        <f t="shared" si="4"/>
        <v>0.9506666666666774</v>
      </c>
      <c r="M16" s="41"/>
      <c r="N16" s="20"/>
      <c r="O16" s="36"/>
      <c r="P16" s="13"/>
      <c r="Q16" s="6">
        <f>K16/L16</f>
        <v>0</v>
      </c>
      <c r="R16" s="14"/>
      <c r="S16" s="6"/>
      <c r="T16" s="19"/>
      <c r="U16" s="8"/>
      <c r="V16" s="38"/>
      <c r="W16" s="5"/>
      <c r="X16" s="8"/>
      <c r="Y16" s="38"/>
    </row>
    <row r="17" spans="1:25" ht="12.75">
      <c r="A17" s="31" t="s">
        <v>12</v>
      </c>
      <c r="B17" s="28">
        <v>79.748</v>
      </c>
      <c r="C17" s="29">
        <v>79.749</v>
      </c>
      <c r="D17" s="33">
        <v>79.748</v>
      </c>
      <c r="E17" s="11">
        <f t="shared" si="0"/>
        <v>79.74833333333333</v>
      </c>
      <c r="F17" s="11">
        <f t="shared" si="1"/>
        <v>0.0005773519422050894</v>
      </c>
      <c r="G17" s="28">
        <v>80.247</v>
      </c>
      <c r="H17" s="29">
        <v>80.249</v>
      </c>
      <c r="I17" s="29">
        <v>80.249</v>
      </c>
      <c r="J17" s="15">
        <f t="shared" si="2"/>
        <v>80.24833333333332</v>
      </c>
      <c r="K17" s="11">
        <f t="shared" si="3"/>
        <v>0.0011547015214780592</v>
      </c>
      <c r="L17" s="15">
        <f t="shared" si="4"/>
        <v>0.4999999999999858</v>
      </c>
      <c r="M17" s="42"/>
      <c r="N17" s="23"/>
      <c r="O17" s="37"/>
      <c r="P17" s="16"/>
      <c r="Q17" s="10">
        <f>K17/L17</f>
        <v>0.002309403042956184</v>
      </c>
      <c r="R17" s="15"/>
      <c r="S17" s="10"/>
      <c r="T17" s="22"/>
      <c r="U17" s="11"/>
      <c r="V17" s="39"/>
      <c r="W17" s="9"/>
      <c r="X17" s="11"/>
      <c r="Y17" s="39"/>
    </row>
    <row r="20" spans="1:8" ht="12.75">
      <c r="A20" t="s">
        <v>16</v>
      </c>
      <c r="D20">
        <f>97*16.83*(2.54^2)</f>
        <v>10532.301515999998</v>
      </c>
      <c r="E20" t="s">
        <v>17</v>
      </c>
      <c r="H20">
        <f>97/PI()</f>
        <v>30.876058959827695</v>
      </c>
    </row>
    <row r="21" spans="1:8" ht="12.75">
      <c r="A21" t="s">
        <v>18</v>
      </c>
      <c r="D21">
        <f>2.54^2*0.25*PI()*(97/PI())^2</f>
        <v>4830.59956314169</v>
      </c>
      <c r="E21" t="s">
        <v>17</v>
      </c>
      <c r="H21">
        <f>427.5/25.4</f>
        <v>16.830708661417322</v>
      </c>
    </row>
    <row r="23" spans="1:4" ht="12.75">
      <c r="A23" t="s">
        <v>20</v>
      </c>
      <c r="D23" s="1">
        <v>0.4513888888888889</v>
      </c>
    </row>
    <row r="24" spans="1:8" ht="12.75">
      <c r="A24" t="s">
        <v>37</v>
      </c>
      <c r="D24" s="1">
        <v>0.9958333333333332</v>
      </c>
      <c r="H24">
        <f>100/5000</f>
        <v>0.02</v>
      </c>
    </row>
    <row r="25" spans="1:5" ht="12.75">
      <c r="A25" t="s">
        <v>19</v>
      </c>
      <c r="D25" s="1">
        <f>D24-D23</f>
        <v>0.5444444444444443</v>
      </c>
      <c r="E25" t="s">
        <v>22</v>
      </c>
    </row>
    <row r="26" spans="4:5" ht="12.75">
      <c r="D26" s="43">
        <f>D25*24*60</f>
        <v>783.9999999999998</v>
      </c>
      <c r="E26" t="s">
        <v>21</v>
      </c>
    </row>
    <row r="28" spans="1:5" ht="12.75">
      <c r="A28" t="s">
        <v>29</v>
      </c>
      <c r="D28">
        <f>2.54^2*30.8^2*PI()/2</f>
        <v>9613.659659421006</v>
      </c>
      <c r="E28" t="s">
        <v>17</v>
      </c>
    </row>
    <row r="29" spans="1:5" ht="12.75">
      <c r="A29" t="s">
        <v>30</v>
      </c>
      <c r="D29">
        <f>29.5*(30.8*2.54)*PI()</f>
        <v>7250.305756031283</v>
      </c>
      <c r="E29" t="s">
        <v>17</v>
      </c>
    </row>
    <row r="30" spans="1:5" ht="12.75">
      <c r="A30" t="s">
        <v>31</v>
      </c>
      <c r="D30">
        <f>204/25.4</f>
        <v>8.031496062992126</v>
      </c>
      <c r="E30" t="s">
        <v>26</v>
      </c>
    </row>
    <row r="34" spans="1:5" ht="12.75">
      <c r="A34" t="s">
        <v>25</v>
      </c>
      <c r="D34">
        <v>32.13</v>
      </c>
      <c r="E34" t="s">
        <v>26</v>
      </c>
    </row>
    <row r="35" spans="1:5" ht="12.75">
      <c r="A35" t="s">
        <v>27</v>
      </c>
      <c r="D35">
        <f>2.54^2*D34^2*PI()/4</f>
        <v>5230.928281783257</v>
      </c>
      <c r="E35" t="s">
        <v>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34"/>
  <sheetViews>
    <sheetView workbookViewId="0" topLeftCell="D1">
      <selection activeCell="L12" sqref="L12:L13"/>
    </sheetView>
  </sheetViews>
  <sheetFormatPr defaultColWidth="9.140625" defaultRowHeight="12.75"/>
  <cols>
    <col min="1" max="1" width="11.140625" style="0" customWidth="1"/>
    <col min="2" max="4" width="7.140625" style="0" customWidth="1"/>
    <col min="5" max="5" width="7.8515625" style="0" customWidth="1"/>
    <col min="6" max="6" width="7.421875" style="0" customWidth="1"/>
    <col min="7" max="9" width="7.140625" style="0" customWidth="1"/>
    <col min="10" max="10" width="7.8515625" style="0" customWidth="1"/>
    <col min="11" max="11" width="7.421875" style="0" customWidth="1"/>
    <col min="12" max="12" width="6.8515625" style="0" customWidth="1"/>
    <col min="13" max="13" width="10.8515625" style="0" customWidth="1"/>
    <col min="14" max="14" width="3.140625" style="0" customWidth="1"/>
    <col min="15" max="15" width="6.7109375" style="0" customWidth="1"/>
    <col min="16" max="16" width="7.421875" style="0" customWidth="1"/>
    <col min="17" max="17" width="7.28125" style="0" customWidth="1"/>
    <col min="19" max="19" width="12.00390625" style="0" customWidth="1"/>
    <col min="20" max="20" width="14.57421875" style="0" customWidth="1"/>
    <col min="21" max="21" width="3.140625" style="0" customWidth="1"/>
    <col min="22" max="22" width="3.57421875" style="0" customWidth="1"/>
    <col min="23" max="23" width="13.8515625" style="0" customWidth="1"/>
    <col min="24" max="24" width="2.8515625" style="0" customWidth="1"/>
    <col min="25" max="25" width="4.28125" style="0" customWidth="1"/>
  </cols>
  <sheetData>
    <row r="2" spans="1:25" ht="12.75">
      <c r="A2" s="2"/>
      <c r="B2" s="2"/>
      <c r="C2" s="3"/>
      <c r="D2" s="4"/>
      <c r="E2" s="3"/>
      <c r="F2" s="4"/>
      <c r="G2" s="3"/>
      <c r="H2" s="3"/>
      <c r="I2" s="3"/>
      <c r="J2" s="12"/>
      <c r="K2" s="3"/>
      <c r="L2" s="12"/>
      <c r="M2" s="3" t="s">
        <v>43</v>
      </c>
      <c r="N2" s="3"/>
      <c r="O2" s="3"/>
      <c r="P2" s="12"/>
      <c r="Q2" s="3"/>
      <c r="R2" s="12"/>
      <c r="S2" s="3"/>
      <c r="T2" s="2"/>
      <c r="U2" s="3"/>
      <c r="V2" s="4"/>
      <c r="W2" s="40" t="s">
        <v>42</v>
      </c>
      <c r="X2" s="3"/>
      <c r="Y2" s="4"/>
    </row>
    <row r="3" spans="1:25" ht="12.75">
      <c r="A3" s="5" t="s">
        <v>0</v>
      </c>
      <c r="B3" s="5" t="s">
        <v>1</v>
      </c>
      <c r="C3" s="6"/>
      <c r="D3" s="7"/>
      <c r="E3" s="6"/>
      <c r="F3" s="7"/>
      <c r="G3" s="6" t="s">
        <v>2</v>
      </c>
      <c r="H3" s="6"/>
      <c r="I3" s="6"/>
      <c r="J3" s="13"/>
      <c r="K3" s="6"/>
      <c r="L3" s="13" t="s">
        <v>15</v>
      </c>
      <c r="M3" s="6" t="s">
        <v>39</v>
      </c>
      <c r="N3" s="6"/>
      <c r="O3" s="6"/>
      <c r="P3" s="13"/>
      <c r="Q3" s="6" t="s">
        <v>38</v>
      </c>
      <c r="R3" s="13" t="s">
        <v>15</v>
      </c>
      <c r="S3" s="6" t="s">
        <v>34</v>
      </c>
      <c r="T3" s="5" t="s">
        <v>32</v>
      </c>
      <c r="U3" s="6"/>
      <c r="V3" s="7"/>
      <c r="W3" s="5" t="s">
        <v>32</v>
      </c>
      <c r="X3" s="6"/>
      <c r="Y3" s="7"/>
    </row>
    <row r="4" spans="1:25" ht="12.75">
      <c r="A4" s="5"/>
      <c r="B4" s="5"/>
      <c r="C4" s="6"/>
      <c r="D4" s="7"/>
      <c r="E4" s="6" t="s">
        <v>13</v>
      </c>
      <c r="F4" s="7" t="s">
        <v>14</v>
      </c>
      <c r="G4" s="6"/>
      <c r="H4" s="6"/>
      <c r="I4" s="6"/>
      <c r="J4" s="13" t="s">
        <v>13</v>
      </c>
      <c r="K4" s="6" t="s">
        <v>14</v>
      </c>
      <c r="L4" s="13"/>
      <c r="M4" s="6"/>
      <c r="N4" s="6"/>
      <c r="O4" s="6"/>
      <c r="P4" s="13"/>
      <c r="Q4" s="6" t="s">
        <v>15</v>
      </c>
      <c r="R4" s="13" t="s">
        <v>32</v>
      </c>
      <c r="S4" s="6" t="s">
        <v>32</v>
      </c>
      <c r="T4" s="5" t="s">
        <v>40</v>
      </c>
      <c r="U4" s="6"/>
      <c r="V4" s="7"/>
      <c r="W4" s="5" t="s">
        <v>40</v>
      </c>
      <c r="X4" s="6"/>
      <c r="Y4" s="7"/>
    </row>
    <row r="5" spans="1:25" ht="12.75">
      <c r="A5" s="5"/>
      <c r="B5" s="5"/>
      <c r="C5" s="6"/>
      <c r="D5" s="7"/>
      <c r="E5" s="6"/>
      <c r="F5" s="7"/>
      <c r="G5" s="6"/>
      <c r="H5" s="6"/>
      <c r="I5" s="6"/>
      <c r="J5" s="13"/>
      <c r="K5" s="6"/>
      <c r="L5" s="13"/>
      <c r="M5" s="6"/>
      <c r="N5" s="6"/>
      <c r="O5" s="6"/>
      <c r="P5" s="13"/>
      <c r="Q5" s="6"/>
      <c r="R5" s="13"/>
      <c r="S5" s="6" t="s">
        <v>35</v>
      </c>
      <c r="T5" s="5" t="s">
        <v>41</v>
      </c>
      <c r="U5" s="6"/>
      <c r="V5" s="7"/>
      <c r="W5" s="5" t="s">
        <v>41</v>
      </c>
      <c r="X5" s="6"/>
      <c r="Y5" s="7"/>
    </row>
    <row r="6" spans="1:25" ht="12.75">
      <c r="A6" s="9"/>
      <c r="B6" s="9" t="s">
        <v>33</v>
      </c>
      <c r="C6" s="10"/>
      <c r="D6" s="17"/>
      <c r="E6" s="10" t="s">
        <v>33</v>
      </c>
      <c r="F6" s="17" t="s">
        <v>33</v>
      </c>
      <c r="G6" s="10" t="s">
        <v>33</v>
      </c>
      <c r="H6" s="10"/>
      <c r="I6" s="10"/>
      <c r="J6" s="16" t="s">
        <v>33</v>
      </c>
      <c r="K6" s="10" t="s">
        <v>33</v>
      </c>
      <c r="L6" s="16" t="s">
        <v>33</v>
      </c>
      <c r="M6" s="10" t="s">
        <v>36</v>
      </c>
      <c r="N6" s="10"/>
      <c r="O6" s="10"/>
      <c r="P6" s="16"/>
      <c r="Q6" s="10"/>
      <c r="R6" s="16" t="s">
        <v>33</v>
      </c>
      <c r="S6" s="10" t="s">
        <v>33</v>
      </c>
      <c r="T6" s="9" t="s">
        <v>36</v>
      </c>
      <c r="U6" s="10"/>
      <c r="V6" s="17"/>
      <c r="W6" s="9" t="s">
        <v>36</v>
      </c>
      <c r="X6" s="10"/>
      <c r="Y6" s="17"/>
    </row>
    <row r="7" spans="1:25" ht="12.75">
      <c r="A7" s="30">
        <v>9</v>
      </c>
      <c r="B7" s="26">
        <v>68.662</v>
      </c>
      <c r="C7" s="27"/>
      <c r="D7" s="32"/>
      <c r="E7" s="8">
        <f aca="true" t="shared" si="0" ref="E7:E16">AVERAGE(B7:D7)</f>
        <v>68.662</v>
      </c>
      <c r="F7" s="8" t="e">
        <f aca="true" t="shared" si="1" ref="F7:F16">STDEV(B7:D7)</f>
        <v>#DIV/0!</v>
      </c>
      <c r="G7" s="26">
        <v>68.759</v>
      </c>
      <c r="H7" s="27">
        <v>68.755</v>
      </c>
      <c r="I7" s="32"/>
      <c r="J7" s="8">
        <f aca="true" t="shared" si="2" ref="J7:J16">AVERAGE(G7:I7)</f>
        <v>68.757</v>
      </c>
      <c r="K7" s="8">
        <f aca="true" t="shared" si="3" ref="K7:K16">STDEV(G7:I7)</f>
        <v>0.002828426638843199</v>
      </c>
      <c r="L7" s="14">
        <f aca="true" t="shared" si="4" ref="L7:L16">J7-E7</f>
        <v>0.09499999999999886</v>
      </c>
      <c r="M7" s="20">
        <f>1000*10000*(L7+L8)/($D$20*$D$25)</f>
        <v>0.9759214467406299</v>
      </c>
      <c r="N7" s="21" t="s">
        <v>28</v>
      </c>
      <c r="O7" s="34">
        <f>M7*AVERAGE(Q7:Q8)</f>
        <v>0.0243863041831579</v>
      </c>
      <c r="P7" s="13" t="s">
        <v>23</v>
      </c>
      <c r="Q7" s="6">
        <f aca="true" t="shared" si="5" ref="Q7:Q16">K7/L7</f>
        <v>0.029772911987823503</v>
      </c>
      <c r="R7" s="14">
        <f>L7*3</f>
        <v>0.2849999999999966</v>
      </c>
      <c r="S7" s="8">
        <f>R7+R9</f>
        <v>1.1973307086614133</v>
      </c>
      <c r="T7" s="19">
        <f>1000*10000*S7/($D$25*$D$34)</f>
        <v>6.539842830197492</v>
      </c>
      <c r="U7" s="18" t="s">
        <v>28</v>
      </c>
      <c r="V7" s="24">
        <f>Q7*T7</f>
        <v>0.1947101649976685</v>
      </c>
      <c r="W7" s="19">
        <f>1000*10000*SUM(L7:L11)/($D$34*$D$25)</f>
        <v>2.916718034593617</v>
      </c>
      <c r="X7" s="21" t="s">
        <v>28</v>
      </c>
      <c r="Y7" s="24">
        <f>T7*Q7</f>
        <v>0.1947101649976685</v>
      </c>
    </row>
    <row r="8" spans="1:25" ht="12.75">
      <c r="A8" s="30">
        <v>10</v>
      </c>
      <c r="B8" s="26">
        <v>82.742</v>
      </c>
      <c r="C8" s="27"/>
      <c r="D8" s="32"/>
      <c r="E8" s="8">
        <f t="shared" si="0"/>
        <v>82.742</v>
      </c>
      <c r="F8" s="8" t="e">
        <f t="shared" si="1"/>
        <v>#DIV/0!</v>
      </c>
      <c r="G8" s="26">
        <v>82.811</v>
      </c>
      <c r="H8" s="27">
        <v>82.813</v>
      </c>
      <c r="I8" s="32"/>
      <c r="J8" s="8">
        <f t="shared" si="2"/>
        <v>82.81200000000001</v>
      </c>
      <c r="K8" s="8">
        <f t="shared" si="3"/>
        <v>0.001414213158644095</v>
      </c>
      <c r="L8" s="14">
        <f t="shared" si="4"/>
        <v>0.07000000000000739</v>
      </c>
      <c r="M8" s="20"/>
      <c r="N8" s="20"/>
      <c r="O8" s="34"/>
      <c r="P8" s="13"/>
      <c r="Q8" s="6">
        <f t="shared" si="5"/>
        <v>0.020203045123484937</v>
      </c>
      <c r="R8" s="14"/>
      <c r="S8" s="6"/>
      <c r="T8" s="19"/>
      <c r="U8" s="8"/>
      <c r="V8" s="24"/>
      <c r="W8" s="19"/>
      <c r="X8" s="20"/>
      <c r="Y8" s="24"/>
    </row>
    <row r="9" spans="1:25" ht="12.75">
      <c r="A9" s="30">
        <v>1</v>
      </c>
      <c r="B9" s="26">
        <v>83.792</v>
      </c>
      <c r="C9" s="27"/>
      <c r="D9" s="32"/>
      <c r="E9" s="8">
        <f t="shared" si="0"/>
        <v>83.792</v>
      </c>
      <c r="F9" s="8" t="e">
        <f t="shared" si="1"/>
        <v>#DIV/0!</v>
      </c>
      <c r="G9" s="26">
        <v>83.918</v>
      </c>
      <c r="H9" s="27">
        <v>83.914</v>
      </c>
      <c r="I9" s="32"/>
      <c r="J9" s="8">
        <f t="shared" si="2"/>
        <v>83.916</v>
      </c>
      <c r="K9" s="8">
        <f t="shared" si="3"/>
        <v>0.0028284276035080067</v>
      </c>
      <c r="L9" s="14">
        <f t="shared" si="4"/>
        <v>0.12399999999999523</v>
      </c>
      <c r="M9" s="20">
        <f>1000*10000*SUM(L9:L11)/($D$19*$D$25)</f>
        <v>1.0010022146480617</v>
      </c>
      <c r="N9" s="21" t="s">
        <v>28</v>
      </c>
      <c r="O9" s="34">
        <f>M9*AVERAGE(Q9:Q11)</f>
        <v>0.011475590015728586</v>
      </c>
      <c r="P9" s="13" t="s">
        <v>24</v>
      </c>
      <c r="Q9" s="6">
        <f t="shared" si="5"/>
        <v>0.022809900028291256</v>
      </c>
      <c r="R9" s="14">
        <f>SUM(L9:L11)*(2*17+$D$29)/17</f>
        <v>0.9123307086614167</v>
      </c>
      <c r="S9" s="6"/>
      <c r="T9" s="19"/>
      <c r="U9" s="18"/>
      <c r="V9" s="24"/>
      <c r="W9" s="19"/>
      <c r="X9" s="21"/>
      <c r="Y9" s="24"/>
    </row>
    <row r="10" spans="1:25" ht="12.75">
      <c r="A10" s="30">
        <v>2</v>
      </c>
      <c r="B10" s="26">
        <v>79.174</v>
      </c>
      <c r="C10" s="27"/>
      <c r="D10" s="32"/>
      <c r="E10" s="8">
        <f t="shared" si="0"/>
        <v>79.174</v>
      </c>
      <c r="F10" s="8" t="e">
        <f t="shared" si="1"/>
        <v>#DIV/0!</v>
      </c>
      <c r="G10" s="26">
        <v>79.289</v>
      </c>
      <c r="H10" s="27">
        <v>79.29</v>
      </c>
      <c r="I10" s="32"/>
      <c r="J10" s="8">
        <f t="shared" si="2"/>
        <v>79.2895</v>
      </c>
      <c r="K10" s="8">
        <f t="shared" si="3"/>
        <v>0.0007071056146563075</v>
      </c>
      <c r="L10" s="14">
        <f t="shared" si="4"/>
        <v>0.11549999999999727</v>
      </c>
      <c r="M10" s="20"/>
      <c r="N10" s="20"/>
      <c r="O10" s="34"/>
      <c r="P10" s="13"/>
      <c r="Q10" s="6">
        <f t="shared" si="5"/>
        <v>0.006122126533820989</v>
      </c>
      <c r="R10" s="14"/>
      <c r="S10" s="6"/>
      <c r="T10" s="19"/>
      <c r="U10" s="8"/>
      <c r="V10" s="24"/>
      <c r="W10" s="19"/>
      <c r="X10" s="20"/>
      <c r="Y10" s="24"/>
    </row>
    <row r="11" spans="1:25" ht="12.75">
      <c r="A11" s="30">
        <v>3</v>
      </c>
      <c r="B11" s="26">
        <v>79.089</v>
      </c>
      <c r="C11" s="27"/>
      <c r="D11" s="32"/>
      <c r="E11" s="8">
        <f t="shared" si="0"/>
        <v>79.089</v>
      </c>
      <c r="F11" s="8" t="e">
        <f t="shared" si="1"/>
        <v>#DIV/0!</v>
      </c>
      <c r="G11" s="26">
        <v>79.218</v>
      </c>
      <c r="H11" s="27">
        <v>79.219</v>
      </c>
      <c r="I11" s="32"/>
      <c r="J11" s="8">
        <f t="shared" si="2"/>
        <v>79.2185</v>
      </c>
      <c r="K11" s="8">
        <f t="shared" si="3"/>
        <v>0.0007071056146563075</v>
      </c>
      <c r="L11" s="14">
        <f t="shared" si="4"/>
        <v>0.12950000000000728</v>
      </c>
      <c r="M11" s="20"/>
      <c r="N11" s="20"/>
      <c r="O11" s="34"/>
      <c r="P11" s="13"/>
      <c r="Q11" s="6">
        <f t="shared" si="5"/>
        <v>0.005460275016650716</v>
      </c>
      <c r="R11" s="14"/>
      <c r="S11" s="6"/>
      <c r="T11" s="19"/>
      <c r="U11" s="8"/>
      <c r="V11" s="24"/>
      <c r="W11" s="19"/>
      <c r="X11" s="20"/>
      <c r="Y11" s="24"/>
    </row>
    <row r="12" spans="1:25" ht="12.75">
      <c r="A12" s="30">
        <v>7</v>
      </c>
      <c r="B12" s="26">
        <v>77.587</v>
      </c>
      <c r="C12" s="27"/>
      <c r="D12" s="32"/>
      <c r="E12" s="8">
        <f t="shared" si="0"/>
        <v>77.587</v>
      </c>
      <c r="F12" s="8" t="e">
        <f t="shared" si="1"/>
        <v>#DIV/0!</v>
      </c>
      <c r="G12" s="26">
        <v>77.888</v>
      </c>
      <c r="H12" s="27">
        <v>77.895</v>
      </c>
      <c r="I12" s="32"/>
      <c r="J12" s="8">
        <f t="shared" si="2"/>
        <v>77.89150000000001</v>
      </c>
      <c r="K12" s="8">
        <f t="shared" si="3"/>
        <v>0.004949747203665011</v>
      </c>
      <c r="L12" s="14">
        <f t="shared" si="4"/>
        <v>0.30450000000000443</v>
      </c>
      <c r="M12" s="20">
        <f>1000*10000*(L12+L13)/($D$20*$D$25)</f>
        <v>3.474871817940023</v>
      </c>
      <c r="N12" s="21" t="s">
        <v>28</v>
      </c>
      <c r="O12" s="34">
        <f>M12*AVERAGE(Q12:Q13)</f>
        <v>0.03692494239500533</v>
      </c>
      <c r="P12" s="13" t="s">
        <v>23</v>
      </c>
      <c r="Q12" s="6">
        <f t="shared" si="5"/>
        <v>0.016255327434039207</v>
      </c>
      <c r="R12" s="14">
        <f>L12*3</f>
        <v>0.9135000000000133</v>
      </c>
      <c r="S12" s="8">
        <f>R12+R14</f>
        <v>3.7852401574802674</v>
      </c>
      <c r="T12" s="19">
        <f>1000*10000*S12/($D$25*$D$34)</f>
        <v>20.675052870019762</v>
      </c>
      <c r="U12" s="18" t="s">
        <v>28</v>
      </c>
      <c r="V12" s="24">
        <f>Q12*T12</f>
        <v>0.3360797541182433</v>
      </c>
      <c r="W12" s="19">
        <f>1000*10000*SUM(L12:L16)/($D$34*$D$25)</f>
        <v>9.55307086611259</v>
      </c>
      <c r="X12" s="21" t="s">
        <v>28</v>
      </c>
      <c r="Y12" s="24">
        <f>T12*Q12</f>
        <v>0.3360797541182433</v>
      </c>
    </row>
    <row r="13" spans="1:25" ht="12.75">
      <c r="A13" s="30">
        <v>8</v>
      </c>
      <c r="B13" s="26">
        <v>69.095</v>
      </c>
      <c r="C13" s="27"/>
      <c r="D13" s="32"/>
      <c r="E13" s="8">
        <f t="shared" si="0"/>
        <v>69.095</v>
      </c>
      <c r="F13" s="8" t="e">
        <f t="shared" si="1"/>
        <v>#DIV/0!</v>
      </c>
      <c r="G13" s="26">
        <v>69.377</v>
      </c>
      <c r="H13" s="27">
        <v>69.379</v>
      </c>
      <c r="I13" s="32"/>
      <c r="J13" s="8">
        <f t="shared" si="2"/>
        <v>69.378</v>
      </c>
      <c r="K13" s="8">
        <f t="shared" si="3"/>
        <v>0.0014142138017540034</v>
      </c>
      <c r="L13" s="14">
        <f t="shared" si="4"/>
        <v>0.28300000000000125</v>
      </c>
      <c r="M13" s="20"/>
      <c r="N13" s="20"/>
      <c r="O13" s="34"/>
      <c r="P13" s="13"/>
      <c r="Q13" s="6">
        <f t="shared" si="5"/>
        <v>0.004997221914325078</v>
      </c>
      <c r="R13" s="14"/>
      <c r="S13" s="6"/>
      <c r="T13" s="19"/>
      <c r="U13" s="8"/>
      <c r="V13" s="24"/>
      <c r="W13" s="44"/>
      <c r="X13" s="8"/>
      <c r="Y13" s="38"/>
    </row>
    <row r="14" spans="1:25" ht="12.75">
      <c r="A14" s="30">
        <v>4</v>
      </c>
      <c r="B14" s="26">
        <v>73.671</v>
      </c>
      <c r="C14" s="27"/>
      <c r="D14" s="32"/>
      <c r="E14" s="8">
        <f t="shared" si="0"/>
        <v>73.671</v>
      </c>
      <c r="F14" s="8" t="e">
        <f t="shared" si="1"/>
        <v>#DIV/0!</v>
      </c>
      <c r="G14" s="26">
        <v>74.031</v>
      </c>
      <c r="H14" s="27">
        <v>74.032</v>
      </c>
      <c r="I14" s="32"/>
      <c r="J14" s="8">
        <f t="shared" si="2"/>
        <v>74.0315</v>
      </c>
      <c r="K14" s="8">
        <f t="shared" si="3"/>
        <v>0.0007071081870953564</v>
      </c>
      <c r="L14" s="14">
        <f t="shared" si="4"/>
        <v>0.3604999999999876</v>
      </c>
      <c r="M14" s="20">
        <f>1000*10000*SUM(L14:L16)/($D$19*$D$25)</f>
        <v>3.150851144481571</v>
      </c>
      <c r="N14" s="21" t="s">
        <v>28</v>
      </c>
      <c r="O14" s="34">
        <f>M14*AVERAGE(Q14:Q16)</f>
        <v>0.016727119021099027</v>
      </c>
      <c r="P14" s="13" t="s">
        <v>24</v>
      </c>
      <c r="Q14" s="6">
        <f t="shared" si="5"/>
        <v>0.001961465151443497</v>
      </c>
      <c r="R14" s="14">
        <f>SUM(L14:L16)*(2*17+$D$29)/17</f>
        <v>2.871740157480254</v>
      </c>
      <c r="S14" s="6"/>
      <c r="T14" s="19"/>
      <c r="U14" s="18"/>
      <c r="V14" s="24"/>
      <c r="W14" s="44"/>
      <c r="X14" s="18"/>
      <c r="Y14" s="38"/>
    </row>
    <row r="15" spans="1:25" ht="12.75">
      <c r="A15" s="30">
        <v>5</v>
      </c>
      <c r="B15" s="26">
        <v>81.602</v>
      </c>
      <c r="C15" s="27"/>
      <c r="D15" s="32"/>
      <c r="E15" s="8">
        <f t="shared" si="0"/>
        <v>81.602</v>
      </c>
      <c r="F15" s="8" t="e">
        <f t="shared" si="1"/>
        <v>#DIV/0!</v>
      </c>
      <c r="G15" s="26">
        <v>81.994</v>
      </c>
      <c r="H15" s="27">
        <v>81.992</v>
      </c>
      <c r="I15" s="32"/>
      <c r="J15" s="8">
        <f t="shared" si="2"/>
        <v>81.993</v>
      </c>
      <c r="K15" s="8">
        <f t="shared" si="3"/>
        <v>0.0014142144448636195</v>
      </c>
      <c r="L15" s="14">
        <f t="shared" si="4"/>
        <v>0.39099999999999113</v>
      </c>
      <c r="M15" s="20"/>
      <c r="N15" s="20"/>
      <c r="O15" s="34"/>
      <c r="P15" s="13"/>
      <c r="Q15" s="6">
        <f t="shared" si="5"/>
        <v>0.0036169167387817176</v>
      </c>
      <c r="R15" s="14"/>
      <c r="S15" s="6"/>
      <c r="T15" s="19"/>
      <c r="U15" s="8"/>
      <c r="V15" s="24"/>
      <c r="W15" s="44"/>
      <c r="X15" s="8"/>
      <c r="Y15" s="38"/>
    </row>
    <row r="16" spans="1:25" ht="12.75">
      <c r="A16" s="30">
        <v>6</v>
      </c>
      <c r="B16" s="28">
        <v>76.655</v>
      </c>
      <c r="C16" s="29"/>
      <c r="D16" s="33"/>
      <c r="E16" s="46">
        <f t="shared" si="0"/>
        <v>76.655</v>
      </c>
      <c r="F16" s="11" t="e">
        <f t="shared" si="1"/>
        <v>#DIV/0!</v>
      </c>
      <c r="G16" s="28">
        <v>77.062</v>
      </c>
      <c r="H16" s="29">
        <v>77.068</v>
      </c>
      <c r="I16" s="33"/>
      <c r="J16" s="11">
        <f t="shared" si="2"/>
        <v>77.065</v>
      </c>
      <c r="K16" s="11">
        <f t="shared" si="3"/>
        <v>0.0042426407621522</v>
      </c>
      <c r="L16" s="15">
        <f t="shared" si="4"/>
        <v>0.4099999999999966</v>
      </c>
      <c r="M16" s="23"/>
      <c r="N16" s="23"/>
      <c r="O16" s="35"/>
      <c r="P16" s="16"/>
      <c r="Q16" s="10">
        <f t="shared" si="5"/>
        <v>0.010347904297932281</v>
      </c>
      <c r="R16" s="15"/>
      <c r="S16" s="10"/>
      <c r="T16" s="22"/>
      <c r="U16" s="11"/>
      <c r="V16" s="25"/>
      <c r="W16" s="45"/>
      <c r="X16" s="11"/>
      <c r="Y16" s="39"/>
    </row>
    <row r="19" spans="1:5" ht="12.75">
      <c r="A19" t="s">
        <v>16</v>
      </c>
      <c r="D19">
        <f>97*16.83*(2.54^2)</f>
        <v>10532.301515999998</v>
      </c>
      <c r="E19" t="s">
        <v>17</v>
      </c>
    </row>
    <row r="20" spans="1:5" ht="12.75">
      <c r="A20" t="s">
        <v>18</v>
      </c>
      <c r="D20">
        <f>2.54^2*0.25*PI()*(97/PI())^2</f>
        <v>4830.59956314169</v>
      </c>
      <c r="E20" t="s">
        <v>17</v>
      </c>
    </row>
    <row r="22" spans="1:4" ht="12.75">
      <c r="A22" t="s">
        <v>20</v>
      </c>
      <c r="D22" s="1">
        <v>0.7319444444444444</v>
      </c>
    </row>
    <row r="23" spans="1:4" ht="12.75">
      <c r="A23" t="s">
        <v>37</v>
      </c>
      <c r="D23" s="1">
        <v>0.975</v>
      </c>
    </row>
    <row r="24" spans="1:5" ht="12.75">
      <c r="A24" t="s">
        <v>19</v>
      </c>
      <c r="D24" s="1">
        <f>D23-D22</f>
        <v>0.24305555555555558</v>
      </c>
      <c r="E24" t="s">
        <v>22</v>
      </c>
    </row>
    <row r="25" spans="4:5" ht="12.75">
      <c r="D25" s="43">
        <f>D24*24*60</f>
        <v>350.00000000000006</v>
      </c>
      <c r="E25" t="s">
        <v>21</v>
      </c>
    </row>
    <row r="27" spans="1:5" ht="12.75">
      <c r="A27" t="s">
        <v>29</v>
      </c>
      <c r="D27">
        <f>2.54^2*30.4^2*PI()/2</f>
        <v>9365.57567765487</v>
      </c>
      <c r="E27" t="s">
        <v>17</v>
      </c>
    </row>
    <row r="28" spans="1:5" ht="12.75">
      <c r="A28" t="s">
        <v>30</v>
      </c>
      <c r="D28">
        <f>29.5*(30.8*2.54)*PI()</f>
        <v>7250.305756031283</v>
      </c>
      <c r="E28" t="s">
        <v>17</v>
      </c>
    </row>
    <row r="29" spans="1:5" ht="12.75">
      <c r="A29" t="s">
        <v>31</v>
      </c>
      <c r="D29">
        <f>204/25.4</f>
        <v>8.031496062992126</v>
      </c>
      <c r="E29" t="s">
        <v>26</v>
      </c>
    </row>
    <row r="33" spans="1:5" ht="12.75">
      <c r="A33" t="s">
        <v>25</v>
      </c>
      <c r="D33">
        <v>32.13</v>
      </c>
      <c r="E33" t="s">
        <v>26</v>
      </c>
    </row>
    <row r="34" spans="1:5" ht="12.75">
      <c r="A34" t="s">
        <v>27</v>
      </c>
      <c r="D34">
        <f>2.54^2*D33^2*PI()/4</f>
        <v>5230.928281783257</v>
      </c>
      <c r="E34" t="s">
        <v>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9"/>
  <sheetViews>
    <sheetView workbookViewId="0" topLeftCell="A1">
      <selection activeCell="C9" sqref="C9:D16"/>
    </sheetView>
  </sheetViews>
  <sheetFormatPr defaultColWidth="9.140625" defaultRowHeight="12.75"/>
  <cols>
    <col min="10" max="10" width="12.28125" style="0" customWidth="1"/>
  </cols>
  <sheetData>
    <row r="2" spans="2:16" ht="12.75">
      <c r="B2" s="2"/>
      <c r="C2" s="2"/>
      <c r="D2" s="12"/>
      <c r="E2" s="12"/>
      <c r="F2" s="3" t="s">
        <v>43</v>
      </c>
      <c r="G2" s="3"/>
      <c r="H2" s="3"/>
      <c r="I2" s="12"/>
      <c r="J2" s="3"/>
      <c r="K2" s="2"/>
      <c r="L2" s="3"/>
      <c r="M2" s="4"/>
      <c r="N2" s="40" t="s">
        <v>42</v>
      </c>
      <c r="O2" s="3"/>
      <c r="P2" s="4"/>
    </row>
    <row r="3" spans="2:16" ht="12.75">
      <c r="B3" s="5" t="s">
        <v>0</v>
      </c>
      <c r="C3" s="5" t="s">
        <v>1</v>
      </c>
      <c r="D3" s="13" t="s">
        <v>2</v>
      </c>
      <c r="E3" s="13" t="s">
        <v>15</v>
      </c>
      <c r="F3" s="6" t="s">
        <v>39</v>
      </c>
      <c r="G3" s="6"/>
      <c r="H3" s="6"/>
      <c r="I3" s="13" t="s">
        <v>15</v>
      </c>
      <c r="J3" s="6" t="s">
        <v>34</v>
      </c>
      <c r="K3" s="5" t="s">
        <v>32</v>
      </c>
      <c r="L3" s="6"/>
      <c r="M3" s="7"/>
      <c r="N3" s="5" t="s">
        <v>32</v>
      </c>
      <c r="O3" s="6"/>
      <c r="P3" s="7"/>
    </row>
    <row r="4" spans="2:16" ht="12.75">
      <c r="B4" s="5"/>
      <c r="C4" s="5"/>
      <c r="D4" s="13"/>
      <c r="E4" s="13"/>
      <c r="F4" s="6"/>
      <c r="G4" s="6"/>
      <c r="H4" s="6"/>
      <c r="I4" s="13" t="s">
        <v>32</v>
      </c>
      <c r="J4" s="6" t="s">
        <v>32</v>
      </c>
      <c r="K4" s="5" t="s">
        <v>40</v>
      </c>
      <c r="L4" s="6"/>
      <c r="M4" s="7"/>
      <c r="N4" s="5" t="s">
        <v>40</v>
      </c>
      <c r="O4" s="6"/>
      <c r="P4" s="7"/>
    </row>
    <row r="5" spans="2:16" ht="12.75">
      <c r="B5" s="5"/>
      <c r="C5" s="5"/>
      <c r="D5" s="13"/>
      <c r="E5" s="13"/>
      <c r="F5" s="6"/>
      <c r="G5" s="6"/>
      <c r="H5" s="6"/>
      <c r="I5" s="13"/>
      <c r="J5" s="6" t="s">
        <v>35</v>
      </c>
      <c r="K5" s="5" t="s">
        <v>41</v>
      </c>
      <c r="L5" s="6"/>
      <c r="M5" s="7"/>
      <c r="N5" s="5" t="s">
        <v>41</v>
      </c>
      <c r="O5" s="6"/>
      <c r="P5" s="7"/>
    </row>
    <row r="6" spans="2:16" ht="12.75">
      <c r="B6" s="9"/>
      <c r="C6" s="9" t="s">
        <v>33</v>
      </c>
      <c r="D6" s="16" t="s">
        <v>33</v>
      </c>
      <c r="E6" s="16" t="s">
        <v>33</v>
      </c>
      <c r="F6" s="10" t="s">
        <v>36</v>
      </c>
      <c r="G6" s="10"/>
      <c r="H6" s="10"/>
      <c r="I6" s="16" t="s">
        <v>33</v>
      </c>
      <c r="J6" s="10" t="s">
        <v>33</v>
      </c>
      <c r="K6" s="9" t="s">
        <v>36</v>
      </c>
      <c r="L6" s="10"/>
      <c r="M6" s="17"/>
      <c r="N6" s="9" t="s">
        <v>36</v>
      </c>
      <c r="O6" s="10"/>
      <c r="P6" s="17"/>
    </row>
    <row r="7" spans="1:11" ht="12.75">
      <c r="A7" t="s">
        <v>44</v>
      </c>
      <c r="B7">
        <v>1</v>
      </c>
      <c r="C7" s="47">
        <v>59.151</v>
      </c>
      <c r="D7" s="47">
        <v>59.203</v>
      </c>
      <c r="E7" s="47">
        <v>0.09499999999999886</v>
      </c>
      <c r="F7" s="20">
        <f>1000*10000*(E7+E8)/($F$21*$D$31)</f>
        <v>0.6763812007113276</v>
      </c>
      <c r="J7" s="48">
        <f>(E7+E8)*($F$22+$D$33+$D$34+$D$36)/$F$21</f>
        <v>1.1059590862270858</v>
      </c>
      <c r="K7">
        <f>1000*10000*J7/($D$39*$D$31)</f>
        <v>4.186671800023783</v>
      </c>
    </row>
    <row r="8" spans="2:11" ht="12.75">
      <c r="B8">
        <v>2</v>
      </c>
      <c r="C8" s="47">
        <v>60.073</v>
      </c>
      <c r="D8" s="47">
        <v>60.171</v>
      </c>
      <c r="E8" s="47">
        <v>0.07000000000000739</v>
      </c>
      <c r="J8" s="48"/>
      <c r="K8">
        <f aca="true" t="shared" si="0" ref="K8:K19">1000*10000*J8/($D$39*$D$31)</f>
        <v>0</v>
      </c>
    </row>
    <row r="9" spans="1:11" ht="12.75">
      <c r="A9" t="s">
        <v>45</v>
      </c>
      <c r="B9">
        <v>3</v>
      </c>
      <c r="C9" s="47"/>
      <c r="D9" s="47"/>
      <c r="E9" s="47">
        <f aca="true" t="shared" si="1" ref="E9:E19">D9-C9</f>
        <v>0</v>
      </c>
      <c r="F9" s="20">
        <f>1000*10000*(E9+E10)/($F$21*$D$31)</f>
        <v>0</v>
      </c>
      <c r="J9" s="48">
        <f>(E9+E10)*($F$22+$D$33+$D$34+$D$36)/$F$21</f>
        <v>0</v>
      </c>
      <c r="K9">
        <f t="shared" si="0"/>
        <v>0</v>
      </c>
    </row>
    <row r="10" spans="2:11" ht="12.75">
      <c r="B10">
        <v>4</v>
      </c>
      <c r="C10" s="47"/>
      <c r="D10" s="47"/>
      <c r="E10" s="47">
        <f t="shared" si="1"/>
        <v>0</v>
      </c>
      <c r="J10" s="48"/>
      <c r="K10">
        <f t="shared" si="0"/>
        <v>0</v>
      </c>
    </row>
    <row r="11" spans="1:11" ht="12.75">
      <c r="A11" t="s">
        <v>46</v>
      </c>
      <c r="B11">
        <v>5</v>
      </c>
      <c r="C11" s="47"/>
      <c r="D11" s="47"/>
      <c r="E11" s="47">
        <f t="shared" si="1"/>
        <v>0</v>
      </c>
      <c r="F11" s="20">
        <f>1000*10000*(E11+E12)/($F$21*$D$31)</f>
        <v>0</v>
      </c>
      <c r="J11" s="48">
        <f>(E11+E12)*($F$22+$D$33+$D$34+$D$36)/$F$21</f>
        <v>0</v>
      </c>
      <c r="K11">
        <f t="shared" si="0"/>
        <v>0</v>
      </c>
    </row>
    <row r="12" spans="2:11" ht="12.75">
      <c r="B12">
        <v>6</v>
      </c>
      <c r="C12" s="47"/>
      <c r="D12" s="47"/>
      <c r="E12" s="47">
        <f t="shared" si="1"/>
        <v>0</v>
      </c>
      <c r="J12" s="48"/>
      <c r="K12">
        <f t="shared" si="0"/>
        <v>0</v>
      </c>
    </row>
    <row r="13" spans="1:11" ht="12.75">
      <c r="A13" t="s">
        <v>47</v>
      </c>
      <c r="B13">
        <v>7</v>
      </c>
      <c r="C13" s="47"/>
      <c r="D13" s="47"/>
      <c r="E13" s="47">
        <f t="shared" si="1"/>
        <v>0</v>
      </c>
      <c r="F13" s="20">
        <f>1000*10000*(E13+E14)/($F$21*$D$31)</f>
        <v>0</v>
      </c>
      <c r="J13" s="48">
        <f>(E13+E14)*($F$22+$D$33+$D$34+$D$36)/$F$21</f>
        <v>0</v>
      </c>
      <c r="K13">
        <f t="shared" si="0"/>
        <v>0</v>
      </c>
    </row>
    <row r="14" spans="2:11" ht="12.75">
      <c r="B14">
        <v>8</v>
      </c>
      <c r="C14" s="47"/>
      <c r="D14" s="47"/>
      <c r="E14" s="47">
        <f t="shared" si="1"/>
        <v>0</v>
      </c>
      <c r="J14" s="48"/>
      <c r="K14">
        <f t="shared" si="0"/>
        <v>0</v>
      </c>
    </row>
    <row r="15" spans="1:11" ht="12.75">
      <c r="A15" t="s">
        <v>48</v>
      </c>
      <c r="B15">
        <v>9</v>
      </c>
      <c r="C15" s="47"/>
      <c r="D15" s="47"/>
      <c r="E15" s="47">
        <f t="shared" si="1"/>
        <v>0</v>
      </c>
      <c r="F15" s="20">
        <f>1000*10000*(E15+E16)/($F$21*$D$31)</f>
        <v>0</v>
      </c>
      <c r="J15" s="48">
        <f>(E15+E16)*($F$22+$D$33+$D$34+$D$36)/$F$21</f>
        <v>0</v>
      </c>
      <c r="K15">
        <f t="shared" si="0"/>
        <v>0</v>
      </c>
    </row>
    <row r="16" spans="2:11" ht="12.75">
      <c r="B16">
        <v>10</v>
      </c>
      <c r="C16" s="47"/>
      <c r="D16" s="47"/>
      <c r="E16" s="47">
        <f t="shared" si="1"/>
        <v>0</v>
      </c>
      <c r="J16" s="48"/>
      <c r="K16">
        <f t="shared" si="0"/>
        <v>0</v>
      </c>
    </row>
    <row r="17" spans="1:11" ht="12.75">
      <c r="A17" t="s">
        <v>49</v>
      </c>
      <c r="B17">
        <v>11</v>
      </c>
      <c r="C17" s="47">
        <v>58.995</v>
      </c>
      <c r="D17" s="47">
        <v>59.019</v>
      </c>
      <c r="E17" s="47">
        <v>0.30450000000000443</v>
      </c>
      <c r="F17" s="20">
        <f>1000*10000*(E17+E18)/($F$21*$D$31)</f>
        <v>2.408327002532689</v>
      </c>
      <c r="J17" s="48">
        <f>(E17+E18)*($F$22+$D$33+$D$34+$D$36)/$F$21</f>
        <v>3.9378846252023916</v>
      </c>
      <c r="K17">
        <f t="shared" si="0"/>
        <v>14.907088984932745</v>
      </c>
    </row>
    <row r="18" spans="2:11" ht="12.75">
      <c r="B18">
        <v>12</v>
      </c>
      <c r="C18" s="47">
        <v>60.874</v>
      </c>
      <c r="D18" s="47">
        <v>60.891</v>
      </c>
      <c r="E18" s="47">
        <v>0.28300000000000125</v>
      </c>
      <c r="J18" s="48"/>
      <c r="K18">
        <f t="shared" si="0"/>
        <v>0</v>
      </c>
    </row>
    <row r="19" spans="1:11" ht="12.75">
      <c r="A19" t="s">
        <v>50</v>
      </c>
      <c r="B19">
        <v>13</v>
      </c>
      <c r="C19" s="47">
        <v>57.322</v>
      </c>
      <c r="D19" s="47">
        <v>57.323</v>
      </c>
      <c r="E19" s="47">
        <f t="shared" si="1"/>
        <v>0.0009999999999976694</v>
      </c>
      <c r="F19" s="20">
        <f>1000*10000*(E19+E20)/((2.54*12*2.54*36)*$D$31)</f>
        <v>0.0071048913641482735</v>
      </c>
      <c r="J19" s="48">
        <f>(E19+E20)*($F$22+$D$33+$D$34+$D$36)/$F$21</f>
        <v>0.006702782340754341</v>
      </c>
      <c r="K19">
        <f t="shared" si="0"/>
        <v>0.025373768484932526</v>
      </c>
    </row>
    <row r="21" spans="1:6" ht="12.75">
      <c r="A21" t="s">
        <v>54</v>
      </c>
      <c r="E21" t="s">
        <v>17</v>
      </c>
      <c r="F21">
        <f>2.54^2*0.25*PI()*(97/PI())^2</f>
        <v>4830.59956314169</v>
      </c>
    </row>
    <row r="22" spans="1:7" ht="12.75">
      <c r="A22" t="s">
        <v>55</v>
      </c>
      <c r="F22">
        <f>97*16.83*(2.54^2)</f>
        <v>10532.301515999998</v>
      </c>
      <c r="G22" t="s">
        <v>17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8" spans="1:4" ht="12.75">
      <c r="A28" t="s">
        <v>20</v>
      </c>
      <c r="D28" s="1">
        <v>0.625</v>
      </c>
    </row>
    <row r="29" spans="1:4" ht="12.75">
      <c r="A29" t="s">
        <v>37</v>
      </c>
      <c r="D29" s="1">
        <v>0.9756944444444445</v>
      </c>
    </row>
    <row r="30" spans="1:4" ht="12.75">
      <c r="A30" t="s">
        <v>19</v>
      </c>
      <c r="D30" s="1">
        <f>D29-D28</f>
        <v>0.35069444444444453</v>
      </c>
    </row>
    <row r="31" ht="12.75">
      <c r="D31" s="43">
        <f>D30*24*60</f>
        <v>505.00000000000006</v>
      </c>
    </row>
    <row r="33" spans="1:5" ht="12.75">
      <c r="A33" t="s">
        <v>29</v>
      </c>
      <c r="D33">
        <f>2.54^2*30.4^2*PI()/2</f>
        <v>9365.57567765487</v>
      </c>
      <c r="E33" t="s">
        <v>17</v>
      </c>
    </row>
    <row r="34" spans="1:5" ht="12.75">
      <c r="A34" t="s">
        <v>30</v>
      </c>
      <c r="D34">
        <f>29.5*(30.8*2.54)*PI()</f>
        <v>7250.305756031283</v>
      </c>
      <c r="E34" t="s">
        <v>17</v>
      </c>
    </row>
    <row r="35" spans="1:5" ht="12.75">
      <c r="A35" t="s">
        <v>31</v>
      </c>
      <c r="D35">
        <f>204/25.4</f>
        <v>8.031496062992126</v>
      </c>
      <c r="E35" t="s">
        <v>17</v>
      </c>
    </row>
    <row r="36" spans="1:4" ht="12.75">
      <c r="A36" t="s">
        <v>56</v>
      </c>
      <c r="D36">
        <f>2.54*D35*D38*2.54*PI()</f>
        <v>5230.274497471072</v>
      </c>
    </row>
    <row r="38" spans="1:4" ht="12.75">
      <c r="A38" t="s">
        <v>25</v>
      </c>
      <c r="D38">
        <v>32.13</v>
      </c>
    </row>
    <row r="39" spans="1:5" ht="12.75">
      <c r="A39" t="s">
        <v>27</v>
      </c>
      <c r="D39">
        <f>2.54^2*D38^2*PI()/4</f>
        <v>5230.928281783257</v>
      </c>
      <c r="E39" t="s">
        <v>17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9"/>
  <sheetViews>
    <sheetView tabSelected="1" workbookViewId="0" topLeftCell="A1">
      <selection activeCell="N12" sqref="N12"/>
    </sheetView>
  </sheetViews>
  <sheetFormatPr defaultColWidth="9.140625" defaultRowHeight="12.75"/>
  <cols>
    <col min="10" max="10" width="12.28125" style="0" customWidth="1"/>
    <col min="14" max="14" width="11.00390625" style="0" bestFit="1" customWidth="1"/>
  </cols>
  <sheetData>
    <row r="2" spans="1:16" ht="12.75">
      <c r="A2" s="12"/>
      <c r="B2" s="3"/>
      <c r="C2" s="12"/>
      <c r="D2" s="4"/>
      <c r="E2" s="12"/>
      <c r="F2" s="3" t="s">
        <v>43</v>
      </c>
      <c r="G2" s="3"/>
      <c r="H2" s="3"/>
      <c r="I2" s="12"/>
      <c r="J2" s="3"/>
      <c r="K2" s="2"/>
      <c r="L2" s="3"/>
      <c r="M2" s="4"/>
      <c r="N2" s="40" t="s">
        <v>42</v>
      </c>
      <c r="O2" s="3"/>
      <c r="P2" s="4"/>
    </row>
    <row r="3" spans="1:16" ht="12.75">
      <c r="A3" s="13"/>
      <c r="B3" s="6" t="s">
        <v>0</v>
      </c>
      <c r="C3" s="13" t="s">
        <v>1</v>
      </c>
      <c r="D3" s="7" t="s">
        <v>2</v>
      </c>
      <c r="E3" s="13" t="s">
        <v>15</v>
      </c>
      <c r="F3" s="6" t="s">
        <v>39</v>
      </c>
      <c r="G3" s="6"/>
      <c r="H3" s="6"/>
      <c r="I3" s="13" t="s">
        <v>15</v>
      </c>
      <c r="J3" s="6" t="s">
        <v>34</v>
      </c>
      <c r="K3" s="5" t="s">
        <v>32</v>
      </c>
      <c r="L3" s="6"/>
      <c r="M3" s="7"/>
      <c r="N3" s="5" t="s">
        <v>32</v>
      </c>
      <c r="O3" s="6"/>
      <c r="P3" s="7"/>
    </row>
    <row r="4" spans="1:16" ht="12.75">
      <c r="A4" s="13"/>
      <c r="B4" s="6"/>
      <c r="C4" s="13"/>
      <c r="D4" s="7"/>
      <c r="E4" s="13"/>
      <c r="F4" s="6"/>
      <c r="G4" s="6"/>
      <c r="H4" s="6"/>
      <c r="I4" s="13" t="s">
        <v>32</v>
      </c>
      <c r="J4" s="6" t="s">
        <v>32</v>
      </c>
      <c r="K4" s="5" t="s">
        <v>40</v>
      </c>
      <c r="L4" s="6"/>
      <c r="M4" s="7"/>
      <c r="N4" s="5" t="s">
        <v>40</v>
      </c>
      <c r="O4" s="6"/>
      <c r="P4" s="7"/>
    </row>
    <row r="5" spans="1:16" ht="12.75">
      <c r="A5" s="13"/>
      <c r="B5" s="6"/>
      <c r="C5" s="13"/>
      <c r="D5" s="7"/>
      <c r="E5" s="13"/>
      <c r="F5" s="6"/>
      <c r="G5" s="6"/>
      <c r="H5" s="6"/>
      <c r="I5" s="13"/>
      <c r="J5" s="6" t="s">
        <v>35</v>
      </c>
      <c r="K5" s="5" t="s">
        <v>41</v>
      </c>
      <c r="L5" s="6"/>
      <c r="M5" s="7"/>
      <c r="N5" s="5" t="s">
        <v>41</v>
      </c>
      <c r="O5" s="6"/>
      <c r="P5" s="7"/>
    </row>
    <row r="6" spans="1:16" ht="12.75">
      <c r="A6" s="16"/>
      <c r="B6" s="10"/>
      <c r="C6" s="16" t="s">
        <v>33</v>
      </c>
      <c r="D6" s="17" t="s">
        <v>33</v>
      </c>
      <c r="E6" s="16" t="s">
        <v>33</v>
      </c>
      <c r="F6" s="10" t="s">
        <v>36</v>
      </c>
      <c r="G6" s="10"/>
      <c r="H6" s="10"/>
      <c r="I6" s="16" t="s">
        <v>33</v>
      </c>
      <c r="J6" s="10" t="s">
        <v>33</v>
      </c>
      <c r="K6" s="5" t="s">
        <v>36</v>
      </c>
      <c r="L6" s="6"/>
      <c r="M6" s="7"/>
      <c r="N6" s="9" t="s">
        <v>36</v>
      </c>
      <c r="O6" s="10"/>
      <c r="P6" s="17"/>
    </row>
    <row r="7" spans="1:16" ht="12.75">
      <c r="A7" s="12" t="s">
        <v>44</v>
      </c>
      <c r="B7" s="3">
        <v>1</v>
      </c>
      <c r="C7" s="51">
        <v>59.151</v>
      </c>
      <c r="D7" s="56">
        <v>59.203</v>
      </c>
      <c r="E7" s="51">
        <f>D7-C7</f>
        <v>0.0519999999999996</v>
      </c>
      <c r="F7" s="55">
        <f>1000*10000*(E7+E8)/($F$21*$D$31)</f>
        <v>0.6148920006466323</v>
      </c>
      <c r="G7" s="3"/>
      <c r="H7" s="4"/>
      <c r="I7" s="12"/>
      <c r="J7" s="52">
        <f>(E7+E8)*($F$22+$D$33+$D$34+$D$36)/$F$21</f>
        <v>1.005417351115485</v>
      </c>
      <c r="K7" s="61">
        <f>1000*10000*J7/($D$39*$D$31)</f>
        <v>3.806065272748713</v>
      </c>
      <c r="L7" s="3"/>
      <c r="M7" s="4"/>
      <c r="N7" s="62">
        <f>1000*10000*(E7+E8)*(($F$21+$F$22)/$F$21)/($D$31*$F$21)</f>
        <v>1.9555595235772298</v>
      </c>
      <c r="O7" s="3"/>
      <c r="P7" s="4"/>
    </row>
    <row r="8" spans="1:16" ht="12.75">
      <c r="A8" s="13"/>
      <c r="B8" s="6">
        <v>2</v>
      </c>
      <c r="C8" s="49">
        <v>60.073</v>
      </c>
      <c r="D8" s="27">
        <v>60.171</v>
      </c>
      <c r="E8" s="49">
        <f aca="true" t="shared" si="0" ref="E8:E19">D8-C8</f>
        <v>0.09799999999999898</v>
      </c>
      <c r="F8" s="5"/>
      <c r="G8" s="6"/>
      <c r="H8" s="7"/>
      <c r="I8" s="13"/>
      <c r="J8" s="53"/>
      <c r="K8" s="19"/>
      <c r="L8" s="6"/>
      <c r="M8" s="7"/>
      <c r="N8" s="20"/>
      <c r="O8" s="6"/>
      <c r="P8" s="7"/>
    </row>
    <row r="9" spans="1:16" ht="12.75">
      <c r="A9" s="13" t="s">
        <v>45</v>
      </c>
      <c r="B9" s="6">
        <v>3</v>
      </c>
      <c r="C9" s="49">
        <v>57.22</v>
      </c>
      <c r="D9" s="27">
        <v>58.02</v>
      </c>
      <c r="E9" s="49">
        <f t="shared" si="0"/>
        <v>0.8000000000000043</v>
      </c>
      <c r="F9" s="19">
        <f>1000*10000*(E9+E10)/($F$21*$D$31)</f>
        <v>4.857646805108479</v>
      </c>
      <c r="G9" s="6"/>
      <c r="H9" s="7"/>
      <c r="I9" s="13"/>
      <c r="J9" s="53">
        <f>(E9+E10)*($F$22+$D$33+$D$34+$D$36)/$F$21</f>
        <v>7.94279707381247</v>
      </c>
      <c r="K9" s="59">
        <f aca="true" t="shared" si="1" ref="K9:K19">1000*10000*J9/($D$39*$D$31)</f>
        <v>30.06791565471536</v>
      </c>
      <c r="L9" s="6"/>
      <c r="M9" s="7"/>
      <c r="N9" s="63">
        <f>1000*10000*(E9+E10)*(($F$21+$F$22)/$F$21)/($D$31*$F$21)</f>
        <v>15.448920236260383</v>
      </c>
      <c r="O9" s="6"/>
      <c r="P9" s="7"/>
    </row>
    <row r="10" spans="1:18" ht="12.75">
      <c r="A10" s="13"/>
      <c r="B10" s="6">
        <v>4</v>
      </c>
      <c r="C10" s="49">
        <v>58.425</v>
      </c>
      <c r="D10" s="27">
        <v>58.81</v>
      </c>
      <c r="E10" s="49">
        <f t="shared" si="0"/>
        <v>0.3850000000000051</v>
      </c>
      <c r="F10" s="5"/>
      <c r="G10" s="6"/>
      <c r="H10" s="7"/>
      <c r="I10" s="13"/>
      <c r="J10" s="53"/>
      <c r="K10" s="19"/>
      <c r="L10" s="6"/>
      <c r="M10" s="7"/>
      <c r="N10" s="20"/>
      <c r="O10" s="6"/>
      <c r="P10" s="7"/>
      <c r="R10" s="60"/>
    </row>
    <row r="11" spans="1:16" ht="12.75">
      <c r="A11" s="13" t="s">
        <v>46</v>
      </c>
      <c r="B11" s="6">
        <v>5</v>
      </c>
      <c r="C11" s="49">
        <v>57.702</v>
      </c>
      <c r="D11" s="27">
        <v>57.773</v>
      </c>
      <c r="E11" s="49">
        <f t="shared" si="0"/>
        <v>0.07100000000000506</v>
      </c>
      <c r="F11" s="19">
        <f>1000*10000*(E11+E12)/($F$21*$D$31)</f>
        <v>0.6148920006466614</v>
      </c>
      <c r="G11" s="6"/>
      <c r="H11" s="7"/>
      <c r="I11" s="13"/>
      <c r="J11" s="53">
        <f>(E11+E12)*($F$22+$D$33+$D$34+$D$36)/$F$21</f>
        <v>1.0054173511155327</v>
      </c>
      <c r="K11" s="59">
        <f t="shared" si="1"/>
        <v>3.806065272748894</v>
      </c>
      <c r="L11" s="6"/>
      <c r="M11" s="7"/>
      <c r="N11" s="63">
        <f>1000*10000*(E11+E12)*(($F$21+$F$22)/$F$21)/($D$31*$F$21)</f>
        <v>1.9555595235773227</v>
      </c>
      <c r="O11" s="6"/>
      <c r="P11" s="7"/>
    </row>
    <row r="12" spans="1:16" ht="12.75">
      <c r="A12" s="13"/>
      <c r="B12" s="6">
        <v>6</v>
      </c>
      <c r="C12" s="49">
        <v>59.989</v>
      </c>
      <c r="D12" s="27">
        <v>60.068</v>
      </c>
      <c r="E12" s="49">
        <f t="shared" si="0"/>
        <v>0.07900000000000063</v>
      </c>
      <c r="F12" s="5"/>
      <c r="G12" s="6"/>
      <c r="H12" s="7"/>
      <c r="I12" s="13"/>
      <c r="J12" s="53"/>
      <c r="K12" s="19"/>
      <c r="L12" s="6"/>
      <c r="M12" s="7"/>
      <c r="N12" s="20"/>
      <c r="O12" s="6"/>
      <c r="P12" s="7"/>
    </row>
    <row r="13" spans="1:16" ht="12.75">
      <c r="A13" s="13" t="s">
        <v>47</v>
      </c>
      <c r="B13" s="6">
        <v>7</v>
      </c>
      <c r="C13" s="49">
        <v>59.499</v>
      </c>
      <c r="D13" s="27">
        <v>59.698</v>
      </c>
      <c r="E13" s="49">
        <f t="shared" si="0"/>
        <v>0.19899999999999807</v>
      </c>
      <c r="F13" s="19">
        <f>1000*10000*(E13+E14)/($F$21*$D$31)</f>
        <v>2.6645320028020927</v>
      </c>
      <c r="G13" s="6"/>
      <c r="H13" s="7"/>
      <c r="I13" s="13"/>
      <c r="J13" s="53">
        <f>(E13+E14)*($F$22+$D$33+$D$34+$D$36)/$F$21</f>
        <v>4.356808521500467</v>
      </c>
      <c r="K13" s="59">
        <f t="shared" si="1"/>
        <v>16.492949515244547</v>
      </c>
      <c r="L13" s="6"/>
      <c r="M13" s="7"/>
      <c r="N13" s="63">
        <f>1000*10000*(E13+E14)*(($F$21+$F$22)/$F$21)/($D$31*$F$21)</f>
        <v>8.474091268834725</v>
      </c>
      <c r="O13" s="6"/>
      <c r="P13" s="7"/>
    </row>
    <row r="14" spans="1:16" ht="12.75">
      <c r="A14" s="13"/>
      <c r="B14" s="6">
        <v>8</v>
      </c>
      <c r="C14" s="49">
        <v>57.579</v>
      </c>
      <c r="D14" s="27">
        <v>58.03</v>
      </c>
      <c r="E14" s="49">
        <f t="shared" si="0"/>
        <v>0.4510000000000005</v>
      </c>
      <c r="F14" s="5"/>
      <c r="G14" s="6"/>
      <c r="H14" s="7"/>
      <c r="I14" s="13"/>
      <c r="J14" s="53"/>
      <c r="K14" s="19"/>
      <c r="L14" s="6"/>
      <c r="M14" s="7"/>
      <c r="N14" s="20"/>
      <c r="O14" s="6"/>
      <c r="P14" s="7"/>
    </row>
    <row r="15" spans="1:16" ht="12.75">
      <c r="A15" s="13" t="s">
        <v>48</v>
      </c>
      <c r="B15" s="6">
        <v>9</v>
      </c>
      <c r="C15" s="49">
        <v>58.599</v>
      </c>
      <c r="D15" s="27">
        <v>58.615</v>
      </c>
      <c r="E15" s="49">
        <f t="shared" si="0"/>
        <v>0.016000000000005343</v>
      </c>
      <c r="F15" s="19">
        <f>1000*10000*(E15+E16)/($F$21*$D$31)</f>
        <v>0.139375520146596</v>
      </c>
      <c r="G15" s="6"/>
      <c r="H15" s="7"/>
      <c r="I15" s="13"/>
      <c r="J15" s="53">
        <f>(E15+E16)*($F$22+$D$33+$D$34+$D$36)/$F$21</f>
        <v>0.22789459958621916</v>
      </c>
      <c r="K15" s="58">
        <f t="shared" si="1"/>
        <v>0.8627081284898696</v>
      </c>
      <c r="L15" s="6"/>
      <c r="M15" s="7"/>
      <c r="N15" s="57">
        <f>1000*10000*(E15+E16)*(($F$21+$F$22)/$F$21)/($D$31*$F$21)</f>
        <v>0.44326015867758817</v>
      </c>
      <c r="O15" s="6"/>
      <c r="P15" s="7"/>
    </row>
    <row r="16" spans="1:16" ht="12.75">
      <c r="A16" s="13"/>
      <c r="B16" s="6">
        <v>10</v>
      </c>
      <c r="C16" s="49">
        <v>59.73</v>
      </c>
      <c r="D16" s="27">
        <v>59.748</v>
      </c>
      <c r="E16" s="49">
        <f t="shared" si="0"/>
        <v>0.018000000000000682</v>
      </c>
      <c r="F16" s="5"/>
      <c r="G16" s="6"/>
      <c r="H16" s="7"/>
      <c r="I16" s="13"/>
      <c r="J16" s="53"/>
      <c r="K16" s="19"/>
      <c r="L16" s="6"/>
      <c r="M16" s="7"/>
      <c r="N16" s="20"/>
      <c r="O16" s="6"/>
      <c r="P16" s="7"/>
    </row>
    <row r="17" spans="1:16" ht="12.75">
      <c r="A17" s="13" t="s">
        <v>49</v>
      </c>
      <c r="B17" s="6">
        <v>11</v>
      </c>
      <c r="C17" s="49">
        <v>58.995</v>
      </c>
      <c r="D17" s="27">
        <v>59.019</v>
      </c>
      <c r="E17" s="49">
        <f t="shared" si="0"/>
        <v>0.02400000000000091</v>
      </c>
      <c r="F17" s="19">
        <f>1000*10000*(E17+E18)/($F$21*$D$31)</f>
        <v>0.1680704801767347</v>
      </c>
      <c r="G17" s="6"/>
      <c r="H17" s="7"/>
      <c r="I17" s="13"/>
      <c r="J17" s="53">
        <f>(E17+E18)*($F$22+$D$33+$D$34+$D$36)/$F$21</f>
        <v>0.27481407597154717</v>
      </c>
      <c r="K17" s="58">
        <f t="shared" si="1"/>
        <v>1.0403245078845775</v>
      </c>
      <c r="L17" s="6"/>
      <c r="M17" s="7"/>
      <c r="N17" s="57">
        <f>1000*10000*(E17+E18)*(($F$21+$F$22)/$F$21)/($D$31*$F$21)</f>
        <v>0.534519603111073</v>
      </c>
      <c r="O17" s="6"/>
      <c r="P17" s="7"/>
    </row>
    <row r="18" spans="1:16" ht="12.75">
      <c r="A18" s="13"/>
      <c r="B18" s="6">
        <v>12</v>
      </c>
      <c r="C18" s="49">
        <v>60.874</v>
      </c>
      <c r="D18" s="27">
        <v>60.891</v>
      </c>
      <c r="E18" s="49">
        <f t="shared" si="0"/>
        <v>0.016999999999995907</v>
      </c>
      <c r="F18" s="5"/>
      <c r="G18" s="6"/>
      <c r="H18" s="7"/>
      <c r="I18" s="13"/>
      <c r="J18" s="53"/>
      <c r="K18" s="19"/>
      <c r="L18" s="6"/>
      <c r="M18" s="7"/>
      <c r="N18" s="20"/>
      <c r="O18" s="6"/>
      <c r="P18" s="7"/>
    </row>
    <row r="19" spans="1:16" ht="12.75">
      <c r="A19" s="16" t="s">
        <v>50</v>
      </c>
      <c r="B19" s="10">
        <v>13</v>
      </c>
      <c r="C19" s="50">
        <v>57.322</v>
      </c>
      <c r="D19" s="29">
        <v>57.323</v>
      </c>
      <c r="E19" s="50">
        <f t="shared" si="0"/>
        <v>0.0009999999999976694</v>
      </c>
      <c r="F19" s="22">
        <f>1000*10000*(E19+E20)/((2.54*12*2.54*36)*$D$31)</f>
        <v>0.0071048913641482735</v>
      </c>
      <c r="G19" s="10"/>
      <c r="H19" s="17"/>
      <c r="I19" s="16"/>
      <c r="J19" s="54">
        <f>(E19+E20)*($F$22+$D$33+$D$34+$D$36)/$F$21</f>
        <v>0.006702782340754341</v>
      </c>
      <c r="K19" s="22">
        <f t="shared" si="1"/>
        <v>0.025373768484932526</v>
      </c>
      <c r="L19" s="10"/>
      <c r="M19" s="17"/>
      <c r="N19" s="23">
        <f>1000*10000*(E19+E20)*(($F$21+$F$22)/$F$21)/($D$31*$F$21)</f>
        <v>0.013037063490484606</v>
      </c>
      <c r="O19" s="10"/>
      <c r="P19" s="17"/>
    </row>
    <row r="21" spans="1:10" ht="12.75">
      <c r="A21" t="s">
        <v>54</v>
      </c>
      <c r="E21" t="s">
        <v>17</v>
      </c>
      <c r="F21">
        <f>2.54^2*0.25*PI()*(97/PI())^2</f>
        <v>4830.59956314169</v>
      </c>
      <c r="J21" t="s">
        <v>57</v>
      </c>
    </row>
    <row r="22" spans="1:7" ht="12.75">
      <c r="A22" t="s">
        <v>55</v>
      </c>
      <c r="F22">
        <f>97*16.83*(2.54^2)</f>
        <v>10532.301515999998</v>
      </c>
      <c r="G22" t="s">
        <v>17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8" spans="1:4" ht="12.75">
      <c r="A28" t="s">
        <v>20</v>
      </c>
      <c r="D28" s="1">
        <v>0.625</v>
      </c>
    </row>
    <row r="29" spans="1:4" ht="12.75">
      <c r="A29" t="s">
        <v>37</v>
      </c>
      <c r="D29" s="1">
        <v>0.9756944444444445</v>
      </c>
    </row>
    <row r="30" spans="1:4" ht="12.75">
      <c r="A30" t="s">
        <v>19</v>
      </c>
      <c r="D30" s="1">
        <f>D29-D28</f>
        <v>0.35069444444444453</v>
      </c>
    </row>
    <row r="31" ht="12.75">
      <c r="D31" s="43">
        <f>D30*24*60</f>
        <v>505.00000000000006</v>
      </c>
    </row>
    <row r="33" spans="1:5" ht="12.75">
      <c r="A33" t="s">
        <v>29</v>
      </c>
      <c r="D33">
        <f>2.54^2*30.4^2*PI()/2</f>
        <v>9365.57567765487</v>
      </c>
      <c r="E33" t="s">
        <v>17</v>
      </c>
    </row>
    <row r="34" spans="1:5" ht="12.75">
      <c r="A34" t="s">
        <v>30</v>
      </c>
      <c r="D34">
        <f>29.5*(30.8*2.54)*PI()</f>
        <v>7250.305756031283</v>
      </c>
      <c r="E34" t="s">
        <v>17</v>
      </c>
    </row>
    <row r="35" spans="1:5" ht="12.75">
      <c r="A35" t="s">
        <v>31</v>
      </c>
      <c r="D35">
        <f>204/25.4</f>
        <v>8.031496062992126</v>
      </c>
      <c r="E35" t="s">
        <v>17</v>
      </c>
    </row>
    <row r="36" spans="1:4" ht="12.75">
      <c r="A36" t="s">
        <v>56</v>
      </c>
      <c r="D36">
        <f>2.54*D35*D38*2.54*PI()</f>
        <v>5230.274497471072</v>
      </c>
    </row>
    <row r="38" spans="1:4" ht="12.75">
      <c r="A38" t="s">
        <v>25</v>
      </c>
      <c r="D38">
        <v>32.13</v>
      </c>
    </row>
    <row r="39" spans="1:5" ht="12.75">
      <c r="A39" t="s">
        <v>27</v>
      </c>
      <c r="D39">
        <f>2.54^2*D38^2*PI()/4</f>
        <v>5230.928281783257</v>
      </c>
      <c r="E39" t="s">
        <v>17</v>
      </c>
    </row>
  </sheetData>
  <printOptions/>
  <pageMargins left="0.75" right="0.75" top="1" bottom="1" header="0.5" footer="0.5"/>
  <pageSetup fitToHeight="1" fitToWidth="1" horizontalDpi="300" verticalDpi="3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Diffendaffer</dc:creator>
  <cp:keywords/>
  <dc:description/>
  <cp:lastModifiedBy>Kathy Theiss</cp:lastModifiedBy>
  <cp:lastPrinted>2002-03-20T00:41:24Z</cp:lastPrinted>
  <dcterms:created xsi:type="dcterms:W3CDTF">2002-01-08T16:58:33Z</dcterms:created>
  <dcterms:modified xsi:type="dcterms:W3CDTF">2006-06-25T05:19:07Z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-1334638148</vt:i4>
  </property>
  <property fmtid="{D5CDD505-2E9C-101B-9397-08002B2CF9AE}" pid="3" name="_EmailSubject">
    <vt:lpwstr>From Ken</vt:lpwstr>
  </property>
  <property fmtid="{D5CDD505-2E9C-101B-9397-08002B2CF9AE}" pid="4" name="_AuthorEmail">
    <vt:lpwstr>kperegoy@GNBValves.com</vt:lpwstr>
  </property>
  <property fmtid="{D5CDD505-2E9C-101B-9397-08002B2CF9AE}" pid="5" name="_AuthorEmailDisplayName">
    <vt:lpwstr>Ken Peregoy</vt:lpwstr>
  </property>
  <property fmtid="{D5CDD505-2E9C-101B-9397-08002B2CF9AE}" pid="6" name="_ReviewingToolsShownOnce">
    <vt:lpwstr/>
  </property>
</Properties>
</file>